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tTpKPdkxvigqgeSqxwZbvdUAPWsrsyaZKzT0tO+7Z6ShxhkmLOztDFviYIpS01mbEs1jaudAz8Jq9KETFU82Zg==" workbookSaltValue="K2ligj+j6WcGwuHdrlbZ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R8" i="9"/>
  <c r="AP17" i="20" s="1"/>
  <c r="BG17" i="13"/>
  <c r="X12" i="21"/>
  <c r="BH9" i="16"/>
  <c r="V16" i="11"/>
  <c r="BF13" i="11"/>
  <c r="BG25" i="1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F11" i="11"/>
  <c r="BG10" i="11"/>
  <c r="BJ18" i="11"/>
  <c r="BJ22" i="11"/>
  <c r="BL19"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M32" i="21"/>
  <c r="I32" i="12"/>
  <c r="AD32" i="17"/>
  <c r="BN32" i="16"/>
  <c r="AH32" i="17"/>
  <c r="F32" i="12"/>
  <c r="Q32" i="11"/>
  <c r="N32" i="17"/>
  <c r="U32" i="20"/>
  <c r="I32" i="11"/>
  <c r="AN32" i="21"/>
  <c r="Q32" i="21"/>
  <c r="AK32" i="17"/>
  <c r="AT32" i="20"/>
  <c r="AE32" i="11"/>
  <c r="AP32" i="21"/>
  <c r="AP32" i="16"/>
  <c r="Y32" i="17"/>
  <c r="O32" i="21"/>
  <c r="AO32" i="11"/>
  <c r="AW32" i="21"/>
  <c r="AZ32" i="16"/>
  <c r="Q32" i="16"/>
  <c r="Z32" i="16"/>
  <c r="V32" i="17"/>
  <c r="BS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17"/>
  <c r="V32" i="16"/>
  <c r="F32" i="11"/>
  <c r="I32" i="16"/>
  <c r="AI32" i="16"/>
  <c r="BE32" i="16"/>
  <c r="AR32" i="20"/>
  <c r="AB32" i="11"/>
  <c r="Z32" i="17"/>
  <c r="BI32" i="16"/>
  <c r="O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BC32" i="21"/>
  <c r="L32" i="11"/>
  <c r="H32" i="12"/>
  <c r="V32" i="11"/>
  <c r="P32" i="11"/>
  <c r="S32" i="16"/>
  <c r="AR32" i="17"/>
  <c r="X32" i="21"/>
  <c r="Y32" i="11"/>
  <c r="AB32" i="16"/>
  <c r="AG32" i="11"/>
  <c r="AE32" i="21"/>
  <c r="AD32" i="21"/>
  <c r="K32" i="21"/>
  <c r="AF32" i="17"/>
  <c r="AY32" i="16"/>
  <c r="BF32" i="16"/>
  <c r="AS32" i="17"/>
  <c r="X32" i="16"/>
  <c r="AY32" i="21"/>
  <c r="AL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<sst xmlns="http://schemas.openxmlformats.org/spreadsheetml/2006/main" count="2682" uniqueCount="1193">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</sst>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Fy3PX6rtGlMqqEYv8nsgm+0HZMeHEYBr/OdgG2iUeAiGAhHWhfdm7qeWBiMeCjxUR11i3L91yAgddl4BCCuww==" saltValue="ojQUOrCxGymysrGCFgf1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v>
      </c>
      <c r="F10" s="240">
        <f>IF(ISNUMBER(Datos!K10),Datos!K10," - ")</f>
        <v>3</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33.7289156626506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986</v>
      </c>
      <c r="D17" s="239">
        <f>IF(ISNUMBER(IF(D_I="SI",Datos!I17,Datos!I17+Datos!AC17)),IF(D_I="SI",Datos!I17,Datos!I17+Datos!AC17)," - ")</f>
        <v>982</v>
      </c>
      <c r="E17" s="240">
        <f>IF(ISNUMBER(IF(D_I="SI",Datos!J17,Datos!J17+Datos!AD17)),IF(D_I="SI",Datos!J17,Datos!J17+Datos!AD17)," - ")</f>
        <v>464</v>
      </c>
      <c r="F17" s="240">
        <f>IF(ISNUMBER(IF(D_I="SI",Datos!K17,Datos!K17+Datos!AE17)),IF(D_I="SI",Datos!K17,Datos!K17+Datos!AE17)," - ")</f>
        <v>499</v>
      </c>
      <c r="G17" s="1390" t="str">
        <f>IF(Datos!E17&lt;&gt;"",Datos!E17,Datos!D17)</f>
        <v>04</v>
      </c>
      <c r="H17" s="241">
        <f>IF(ISNUMBER(IF(D_I="SI",Datos!L17,Datos!L17+Datos!AF17)),IF(D_I="SI",Datos!L17,Datos!L17+Datos!AF17)," - ")</f>
        <v>951</v>
      </c>
      <c r="I17" s="1400" t="str">
        <f>IF(ISNUMBER(Datos!AS17/Datos!BM17),Datos!AS17/Datos!BM17," - ")</f>
        <v xml:space="preserve"> - </v>
      </c>
      <c r="J17" s="1401">
        <f>IF(ISNUMBER(Datos!BY17/Datos!CN17),Datos!BY17/Datos!CN17," - ")</f>
        <v>0</v>
      </c>
      <c r="K17" s="244">
        <f t="shared" si="3"/>
        <v>-3.5496957403651115E-2</v>
      </c>
      <c r="L17" s="1402">
        <f>IF(ISNUMBER(NºAsuntos!I17/NºAsuntos!G17),(NºAsuntos!I17/NºAsuntos!G17)*11," - ")</f>
        <v>20.963927855711422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48</v>
      </c>
      <c r="F18" s="240">
        <f>IF(ISNUMBER(IF(D_I="SI",Datos!K18,Datos!K18+Datos!AE18)),IF(D_I="SI",Datos!K18,Datos!K18+Datos!AE18)," - ")</f>
        <v>43</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0.12820512820512819</v>
      </c>
      <c r="L18" s="1402">
        <f>IF(ISNUMBER(NºAsuntos!I18/NºAsuntos!G18),(NºAsuntos!I18/NºAsuntos!G18)*11," - ")</f>
        <v>11.255813953488373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1025</v>
      </c>
      <c r="D23" s="1407">
        <f>SUBTOTAL(9,D16:D22)</f>
        <v>1021</v>
      </c>
      <c r="E23" s="1408">
        <f>SUBTOTAL(9,E16:E22)</f>
        <v>512</v>
      </c>
      <c r="F23" s="1408">
        <f>SUBTOTAL(9,F16:F22)</f>
        <v>542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1035</v>
      </c>
      <c r="D31" s="1435">
        <f>SUBTOTAL(9,D9:D30)</f>
        <v>1031</v>
      </c>
      <c r="E31" s="1436">
        <f>SUBTOTAL(9,E9:E30)</f>
        <v>514</v>
      </c>
      <c r="F31" s="1436">
        <f>SUBTOTAL(9,F9:F30)</f>
        <v>545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pqht81fwQAJdC70EBKtbwl9RYfioVyrVRks4Fjx4pZ3Gu0Maxi0ovj5fjLvCDxLqEXN3PmZ9yOh1YZvVg7oqQ==" saltValue="YMzTnW/TTO/gOWssqELO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aNIAKxZ0gPKADSKvpSG6sQ+HnsMa3KARKnZINuirC5+p/Qj8vl3XdMjPuLKw+83FrBz7FMeg08wdx6pbt/BwQ==" saltValue="z84beSoKrTU+TM7jxHE2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v>
      </c>
      <c r="K10" s="194">
        <v>3</v>
      </c>
      <c r="L10" s="194">
        <v>9</v>
      </c>
      <c r="M10" s="194">
        <v>3</v>
      </c>
      <c r="N10" s="194">
        <v>0</v>
      </c>
      <c r="O10" s="194">
        <v>6</v>
      </c>
      <c r="P10" s="194">
        <v>4</v>
      </c>
      <c r="Q10" s="194">
        <v>6</v>
      </c>
      <c r="R10" s="194">
        <v>19</v>
      </c>
      <c r="S10" s="194">
        <v>14</v>
      </c>
      <c r="T10" s="194">
        <v>2</v>
      </c>
      <c r="U10" s="194">
        <v>0</v>
      </c>
      <c r="V10" s="194">
        <v>16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2</v>
      </c>
      <c r="BA10" s="139">
        <f t="shared" si="0"/>
        <v>0</v>
      </c>
      <c r="BB10" s="139">
        <f t="shared" si="0"/>
        <v>16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1415</v>
      </c>
      <c r="J12" s="196">
        <v>449</v>
      </c>
      <c r="K12" s="196">
        <v>456</v>
      </c>
      <c r="L12" s="196">
        <v>1417</v>
      </c>
      <c r="M12" s="196">
        <v>141</v>
      </c>
      <c r="N12" s="196">
        <v>132</v>
      </c>
      <c r="O12" s="194">
        <v>312</v>
      </c>
      <c r="P12" s="196">
        <v>108</v>
      </c>
      <c r="Q12" s="196">
        <v>99</v>
      </c>
      <c r="R12" s="196">
        <v>3103</v>
      </c>
      <c r="S12" s="196">
        <v>1182</v>
      </c>
      <c r="T12" s="196">
        <v>419</v>
      </c>
      <c r="U12" s="196">
        <v>405</v>
      </c>
      <c r="V12" s="196">
        <v>1196</v>
      </c>
      <c r="W12" s="196">
        <v>141</v>
      </c>
      <c r="X12" s="202">
        <v>88</v>
      </c>
      <c r="Y12" s="204">
        <v>122</v>
      </c>
      <c r="Z12" s="194">
        <v>30</v>
      </c>
      <c r="AA12" s="194">
        <v>42</v>
      </c>
      <c r="AB12" s="194">
        <v>110</v>
      </c>
      <c r="AC12" s="196">
        <v>0</v>
      </c>
      <c r="AD12" s="196">
        <v>0</v>
      </c>
      <c r="AE12" s="196">
        <v>0</v>
      </c>
      <c r="AF12" s="202">
        <v>0</v>
      </c>
      <c r="AG12" s="215">
        <v>109</v>
      </c>
      <c r="AH12" s="196">
        <v>42</v>
      </c>
      <c r="AI12" s="196">
        <v>31</v>
      </c>
      <c r="AJ12" s="216">
        <v>120</v>
      </c>
      <c r="AK12" s="195">
        <v>0</v>
      </c>
      <c r="AL12" s="196">
        <v>0</v>
      </c>
      <c r="AM12" s="196">
        <v>0</v>
      </c>
      <c r="AN12" s="202">
        <v>0</v>
      </c>
      <c r="AO12" s="283">
        <v>3</v>
      </c>
      <c r="AP12" s="168">
        <v>3</v>
      </c>
      <c r="AQ12" s="168">
        <v>3</v>
      </c>
      <c r="AR12" s="167">
        <v>3</v>
      </c>
      <c r="AS12" s="381" t="s">
        <v>1075</v>
      </c>
      <c r="AT12" s="216"/>
      <c r="AU12" s="215"/>
      <c r="AV12" s="216"/>
      <c r="AW12" s="215"/>
      <c r="AX12" s="216"/>
      <c r="AY12" s="136">
        <f t="shared" si="1"/>
        <v>1291</v>
      </c>
      <c r="AZ12" s="137">
        <f t="shared" si="1"/>
        <v>461</v>
      </c>
      <c r="BA12" s="137">
        <f t="shared" si="1"/>
        <v>436</v>
      </c>
      <c r="BB12" s="137">
        <f t="shared" si="1"/>
        <v>1316</v>
      </c>
      <c r="BC12" s="135">
        <f>IF(ISNUMBER(X12),X12," - ")</f>
        <v>88</v>
      </c>
      <c r="BD12" s="136">
        <f t="shared" si="2"/>
        <v>0.94577006507592187</v>
      </c>
      <c r="BE12" s="137">
        <f t="shared" si="3"/>
        <v>3.0183486238532109</v>
      </c>
      <c r="BF12" s="137">
        <f t="shared" si="4"/>
        <v>0.20183486238532111</v>
      </c>
      <c r="BG12" s="209">
        <f t="shared" si="5"/>
        <v>4.0183486238532113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1425</v>
      </c>
      <c r="J14" s="197">
        <f t="shared" si="7"/>
        <v>451</v>
      </c>
      <c r="K14" s="197">
        <f t="shared" si="7"/>
        <v>459</v>
      </c>
      <c r="L14" s="197">
        <f t="shared" si="7"/>
        <v>1426</v>
      </c>
      <c r="M14" s="197">
        <f t="shared" si="7"/>
        <v>144</v>
      </c>
      <c r="N14" s="197">
        <f t="shared" si="7"/>
        <v>132</v>
      </c>
      <c r="O14" s="197">
        <f t="shared" si="7"/>
        <v>318</v>
      </c>
      <c r="P14" s="197">
        <f t="shared" si="7"/>
        <v>112</v>
      </c>
      <c r="Q14" s="197">
        <f t="shared" si="7"/>
        <v>105</v>
      </c>
      <c r="R14" s="197">
        <f t="shared" si="7"/>
        <v>3122</v>
      </c>
      <c r="S14" s="197">
        <f t="shared" si="7"/>
        <v>1196</v>
      </c>
      <c r="T14" s="197">
        <f t="shared" si="7"/>
        <v>421</v>
      </c>
      <c r="U14" s="197">
        <f t="shared" si="7"/>
        <v>405</v>
      </c>
      <c r="V14" s="197">
        <f t="shared" si="7"/>
        <v>1212</v>
      </c>
      <c r="W14" s="197">
        <f t="shared" si="7"/>
        <v>141</v>
      </c>
      <c r="X14" s="197">
        <f t="shared" si="7"/>
        <v>88</v>
      </c>
      <c r="Y14" s="197">
        <f t="shared" si="7"/>
        <v>122</v>
      </c>
      <c r="Z14" s="197">
        <f t="shared" si="7"/>
        <v>30</v>
      </c>
      <c r="AA14" s="197">
        <f t="shared" si="7"/>
        <v>42</v>
      </c>
      <c r="AB14" s="197">
        <f t="shared" si="7"/>
        <v>110</v>
      </c>
      <c r="AC14" s="197">
        <f t="shared" si="7"/>
        <v>0</v>
      </c>
      <c r="AD14" s="197">
        <f t="shared" si="7"/>
        <v>0</v>
      </c>
      <c r="AE14" s="197">
        <f t="shared" si="7"/>
        <v>0</v>
      </c>
      <c r="AF14" s="197">
        <f>SUBTOTAL(9,AF9:AF13)</f>
        <v>0</v>
      </c>
      <c r="AG14" s="197">
        <f t="shared" ref="AG14:AT14" si="8">SUBTOTAL(9,AG8:AG13)</f>
        <v>109</v>
      </c>
      <c r="AH14" s="197">
        <f t="shared" si="8"/>
        <v>42</v>
      </c>
      <c r="AI14" s="197">
        <f t="shared" si="8"/>
        <v>31</v>
      </c>
      <c r="AJ14" s="197">
        <f t="shared" si="8"/>
        <v>120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1305</v>
      </c>
      <c r="AZ14" s="197">
        <f>SUBTOTAL(9,AZ8:AZ13)</f>
        <v>463</v>
      </c>
      <c r="BA14" s="197">
        <f>SUBTOTAL(9,BA8:BA13)</f>
        <v>436</v>
      </c>
      <c r="BB14" s="197">
        <f>SUBTOTAL(9,BB8:BB13)</f>
        <v>1332</v>
      </c>
      <c r="BC14" s="197">
        <f>SUBTOTAL(9,BC8:BC13)</f>
        <v>88</v>
      </c>
      <c r="BD14" s="219">
        <f>IF(ISNUMBER(BA14/AZ14),BA14/AZ14," - ")</f>
        <v>0.94168466522678185</v>
      </c>
      <c r="BE14" s="220">
        <f>IF(ISNUMBER(BB14/BA14),BB14/BA14, " - ")</f>
        <v>3.0550458715596331</v>
      </c>
      <c r="BF14" s="220">
        <f>IF(ISNUMBER(BC14/BA14),BC14/BA14, " - ")</f>
        <v>0.20183486238532111</v>
      </c>
      <c r="BG14" s="221">
        <f>IF(ISNUMBER((AY14+AZ14)/BA14),(AY14+AZ14)/BA14," - ")</f>
        <v>4.0550458715596331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982</v>
      </c>
      <c r="J17" s="196">
        <v>464</v>
      </c>
      <c r="K17" s="196">
        <v>499</v>
      </c>
      <c r="L17" s="196">
        <v>951</v>
      </c>
      <c r="M17" s="196">
        <v>62</v>
      </c>
      <c r="N17" s="196">
        <v>260</v>
      </c>
      <c r="O17" s="194">
        <v>0</v>
      </c>
      <c r="P17" s="196">
        <v>8</v>
      </c>
      <c r="Q17" s="196">
        <v>7</v>
      </c>
      <c r="R17" s="196">
        <v>100</v>
      </c>
      <c r="S17" s="196">
        <v>919</v>
      </c>
      <c r="T17" s="196">
        <v>455</v>
      </c>
      <c r="U17" s="196">
        <v>473</v>
      </c>
      <c r="V17" s="196">
        <v>911</v>
      </c>
      <c r="W17" s="196">
        <v>91</v>
      </c>
      <c r="X17" s="202">
        <v>274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919</v>
      </c>
      <c r="AZ17" s="137">
        <f t="shared" si="10"/>
        <v>455</v>
      </c>
      <c r="BA17" s="137">
        <f t="shared" si="10"/>
        <v>473</v>
      </c>
      <c r="BB17" s="137">
        <f t="shared" si="10"/>
        <v>911</v>
      </c>
      <c r="BC17" s="135">
        <f>IF(ISNUMBER(W17),W17," - ")</f>
        <v>91</v>
      </c>
      <c r="BD17" s="136">
        <f t="shared" ref="BD17:BD22" si="12">IF(ISNUMBER(BA17/AZ17),BA17/AZ17," - ")</f>
        <v>1.0395604395604396</v>
      </c>
      <c r="BE17" s="137">
        <f t="shared" ref="BE17:BE22" si="13">IF(ISNUMBER(BB17/BA17),BB17/BA17, " - ")</f>
        <v>1.9260042283298098</v>
      </c>
      <c r="BF17" s="137">
        <f t="shared" ref="BF17:BF22" si="14">IF(ISNUMBER(BC17/BA17),BC17/BA17, " - ")</f>
        <v>0.19238900634249473</v>
      </c>
      <c r="BG17" s="209">
        <f t="shared" si="11"/>
        <v>2.904862579281184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48</v>
      </c>
      <c r="K18" s="196">
        <v>43</v>
      </c>
      <c r="L18" s="196">
        <v>44</v>
      </c>
      <c r="M18" s="196">
        <v>6</v>
      </c>
      <c r="N18" s="196">
        <v>32</v>
      </c>
      <c r="O18" s="196">
        <v>0</v>
      </c>
      <c r="P18" s="196">
        <v>0</v>
      </c>
      <c r="Q18" s="196">
        <v>0</v>
      </c>
      <c r="R18" s="196">
        <v>0</v>
      </c>
      <c r="S18" s="196">
        <v>39</v>
      </c>
      <c r="T18" s="196">
        <v>38</v>
      </c>
      <c r="U18" s="196">
        <v>44</v>
      </c>
      <c r="V18" s="196">
        <v>33</v>
      </c>
      <c r="W18" s="196">
        <v>4</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38</v>
      </c>
      <c r="BA18" s="139">
        <f t="shared" si="15"/>
        <v>44</v>
      </c>
      <c r="BB18" s="139">
        <f t="shared" si="15"/>
        <v>33</v>
      </c>
      <c r="BC18" s="135">
        <f>IF(ISNUMBER(W18),W18," - ")</f>
        <v>4</v>
      </c>
      <c r="BD18" s="136">
        <f>IF(ISNUMBER(BA18/AZ18),BA18/AZ18," - ")</f>
        <v>1.1578947368421053</v>
      </c>
      <c r="BE18" s="137">
        <f>IF(ISNUMBER(BB18/BA18),BB18/BA18, " - ")</f>
        <v>0.75</v>
      </c>
      <c r="BF18" s="137">
        <f>IF(ISNUMBER(BC18/BA18),BC18/BA18, " - ")</f>
        <v>9.0909090909090912E-2</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1021</v>
      </c>
      <c r="J23" s="197">
        <f t="shared" si="21"/>
        <v>512</v>
      </c>
      <c r="K23" s="197">
        <f t="shared" si="21"/>
        <v>542</v>
      </c>
      <c r="L23" s="197">
        <f t="shared" si="21"/>
        <v>995</v>
      </c>
      <c r="M23" s="197">
        <f t="shared" si="21"/>
        <v>68</v>
      </c>
      <c r="N23" s="197">
        <f t="shared" si="21"/>
        <v>292</v>
      </c>
      <c r="O23" s="197">
        <f t="shared" si="21"/>
        <v>0</v>
      </c>
      <c r="P23" s="197">
        <f t="shared" si="21"/>
        <v>8</v>
      </c>
      <c r="Q23" s="197">
        <f t="shared" si="21"/>
        <v>7</v>
      </c>
      <c r="R23" s="197">
        <f t="shared" si="21"/>
        <v>100</v>
      </c>
      <c r="S23" s="197">
        <f t="shared" si="21"/>
        <v>958</v>
      </c>
      <c r="T23" s="197">
        <f t="shared" si="21"/>
        <v>493</v>
      </c>
      <c r="U23" s="197">
        <f t="shared" si="21"/>
        <v>517</v>
      </c>
      <c r="V23" s="197">
        <f t="shared" si="21"/>
        <v>944</v>
      </c>
      <c r="W23" s="197">
        <f t="shared" si="21"/>
        <v>95</v>
      </c>
      <c r="X23" s="197">
        <f t="shared" si="21"/>
        <v>327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958</v>
      </c>
      <c r="AZ23" s="197">
        <f>SUBTOTAL(9,AZ15:AZ22)</f>
        <v>493</v>
      </c>
      <c r="BA23" s="197">
        <f>SUBTOTAL(9,BA15:BA22)</f>
        <v>517</v>
      </c>
      <c r="BB23" s="197">
        <f>SUBTOTAL(9,BB15:BB22)</f>
        <v>944</v>
      </c>
      <c r="BC23" s="197">
        <f>SUBTOTAL(9,BC15:BC22)</f>
        <v>95</v>
      </c>
      <c r="BD23" s="219">
        <f>IF(ISNUMBER(BA23/AZ23),BA23/AZ23," - ")</f>
        <v>1.0486815415821502</v>
      </c>
      <c r="BE23" s="220">
        <f>IF(ISNUMBER(BB23/BA23),BB23/BA23, " - ")</f>
        <v>1.8259187620889747</v>
      </c>
      <c r="BF23" s="220">
        <f>IF(ISNUMBER(BC23/BA23),BC23/BA23, " - ")</f>
        <v>0.18375241779497098</v>
      </c>
      <c r="BG23" s="221">
        <f>IF(ISNUMBER((AY23+AZ23)/BA23),(AY23+AZ23)/BA23," - ")</f>
        <v>2.8065764023210833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2446</v>
      </c>
      <c r="J31" s="144">
        <f t="shared" si="36"/>
        <v>963</v>
      </c>
      <c r="K31" s="144">
        <f t="shared" si="36"/>
        <v>1001</v>
      </c>
      <c r="L31" s="144">
        <f t="shared" si="36"/>
        <v>2421</v>
      </c>
      <c r="M31" s="144">
        <f t="shared" si="36"/>
        <v>212</v>
      </c>
      <c r="N31" s="144">
        <f t="shared" si="36"/>
        <v>424</v>
      </c>
      <c r="O31" s="144">
        <f t="shared" si="36"/>
        <v>318</v>
      </c>
      <c r="P31" s="144">
        <f t="shared" si="36"/>
        <v>120</v>
      </c>
      <c r="Q31" s="144">
        <f t="shared" si="36"/>
        <v>112</v>
      </c>
      <c r="R31" s="144">
        <f t="shared" si="36"/>
        <v>3222</v>
      </c>
      <c r="S31" s="144">
        <f t="shared" si="36"/>
        <v>2154</v>
      </c>
      <c r="T31" s="144">
        <f t="shared" si="36"/>
        <v>914</v>
      </c>
      <c r="U31" s="144">
        <f t="shared" si="36"/>
        <v>922</v>
      </c>
      <c r="V31" s="144">
        <f t="shared" si="36"/>
        <v>2156</v>
      </c>
      <c r="W31" s="144">
        <f t="shared" si="36"/>
        <v>236</v>
      </c>
      <c r="X31" s="144">
        <f t="shared" si="36"/>
        <v>415</v>
      </c>
      <c r="Y31" s="144">
        <f t="shared" si="36"/>
        <v>122</v>
      </c>
      <c r="Z31" s="144">
        <f t="shared" si="36"/>
        <v>30</v>
      </c>
      <c r="AA31" s="144">
        <f t="shared" si="36"/>
        <v>42</v>
      </c>
      <c r="AB31" s="144">
        <f t="shared" si="36"/>
        <v>110</v>
      </c>
      <c r="AC31" s="144">
        <f t="shared" si="36"/>
        <v>0</v>
      </c>
      <c r="AD31" s="144">
        <f t="shared" si="36"/>
        <v>1</v>
      </c>
      <c r="AE31" s="144">
        <f t="shared" si="36"/>
        <v>1</v>
      </c>
      <c r="AF31" s="144">
        <f t="shared" si="36"/>
        <v>0</v>
      </c>
      <c r="AG31" s="144">
        <f t="shared" si="36"/>
        <v>109</v>
      </c>
      <c r="AH31" s="144">
        <f t="shared" si="36"/>
        <v>42</v>
      </c>
      <c r="AI31" s="144">
        <f t="shared" si="36"/>
        <v>31</v>
      </c>
      <c r="AJ31" s="144">
        <f t="shared" si="36"/>
        <v>120</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2263</v>
      </c>
      <c r="AZ31" s="144">
        <f>SUBTOTAL(9,AZ9:AZ30)</f>
        <v>956</v>
      </c>
      <c r="BA31" s="144">
        <f>SUBTOTAL(9,BA9:BA30)</f>
        <v>953</v>
      </c>
      <c r="BB31" s="144">
        <f>SUBTOTAL(9,BB9:BB30)</f>
        <v>2276</v>
      </c>
      <c r="BC31" s="145">
        <f>SUBTOTAL(9,BC9:BC30)</f>
        <v>183</v>
      </c>
      <c r="BD31" s="227">
        <f>IF(ISNUMBER(BA31/AZ31),BA31/AZ31," - ")</f>
        <v>0.9968619246861925</v>
      </c>
      <c r="BE31" s="224">
        <f>IF(ISNUMBER(BB31/BA31),BB31/BA31, " - ")</f>
        <v>2.3882476390346277</v>
      </c>
      <c r="BF31" s="224">
        <f>IF(ISNUMBER(BC31/BA31),BC31/BA31, " - ")</f>
        <v>0.19202518363064008</v>
      </c>
      <c r="BG31" s="145">
        <f>IF(ISNUMBER((AY31+AZ31)/BA31),(AY31+AZ31)/BA31," - ")</f>
        <v>3.3777544596012592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g/YL/2vGAWwspK+/N5LPaFYpdVSXRJeM5IYXmUDnuDsvozlMZ/xHX9Cf7ljKbU+jtsqINUUuCjMxxhddWYPg==" saltValue="NiHmuS4Kof2I24Zqhyz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U4t4j7wYy6oQlFPaLGkMDKvL1bY6CfF1Kws4oxB0dPmy3pNS9YsCnOxVNwVDjR9bWJ1Gk+xs1i37o2opkyeQ==" saltValue="vY+Jz1WKbGpAlJIoqUv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HELLIN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6</v>
      </c>
      <c r="AD10" s="549"/>
      <c r="AE10" s="563"/>
      <c r="AF10" s="551">
        <f>IF(ISNUMBER(Datos!L10),Datos!L10,"-")</f>
        <v>9</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108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3103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141</v>
      </c>
      <c r="BD12" s="693">
        <f>IF(ISNUMBER(Datos!N12),Datos!N12," - ")</f>
        <v>132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1.0396659707724425</v>
      </c>
      <c r="BH12" s="764">
        <f>IF(ISNUMBER(((IF(J_V="SI",Datos!L12/Datos!K12,(Datos!L12+Datos!AB12)/(Datos!K12+Datos!AA12)))*11)/factor_trimestre),((IF(J_V="SI",Datos!L12/Datos!K12,(Datos!L12+Datos!AB12)/(Datos!K12+Datos!AA12)))*11)/factor_trimestre," - ")</f>
        <v>9.1987951807228914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2.9088558500323207E-3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112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105</v>
      </c>
      <c r="AD14" s="1198">
        <f t="shared" si="2"/>
        <v>0</v>
      </c>
      <c r="AE14" s="1198">
        <f t="shared" si="2"/>
        <v>0</v>
      </c>
      <c r="AF14" s="1198">
        <f t="shared" si="2"/>
        <v>9</v>
      </c>
      <c r="AG14" s="1198">
        <f t="shared" si="2"/>
        <v>0</v>
      </c>
      <c r="AH14" s="1198">
        <f t="shared" si="2"/>
        <v>110</v>
      </c>
      <c r="AI14" s="1198">
        <f t="shared" si="2"/>
        <v>0</v>
      </c>
      <c r="AJ14" s="1198">
        <f t="shared" si="2"/>
        <v>0</v>
      </c>
      <c r="AK14" s="1198">
        <f t="shared" si="2"/>
        <v>0</v>
      </c>
      <c r="AL14" s="1198">
        <f t="shared" si="2"/>
        <v>0</v>
      </c>
      <c r="AM14" s="1198">
        <f t="shared" si="2"/>
        <v>3122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144</v>
      </c>
      <c r="BD14" s="1198">
        <f t="shared" si="2"/>
        <v>132</v>
      </c>
      <c r="BE14" s="1198">
        <f t="shared" si="2"/>
        <v>0</v>
      </c>
      <c r="BF14" s="1198">
        <f t="shared" si="2"/>
        <v>0</v>
      </c>
      <c r="BG14" s="1198">
        <f>IF(ISNUMBER(Datos!K14/Datos!J14),Datos!K14/Datos!J14," - ")</f>
        <v>1.0177383592017739</v>
      </c>
      <c r="BH14" s="1202">
        <f>IF(ISNUMBER(((Datos!L14/Datos!K14)*11)/factor_trimestre),((Datos!L14/Datos!K14)*11)/factor_trimestre," - ")</f>
        <v>9.3202614379084974</v>
      </c>
      <c r="BI14" s="1198">
        <f>IF(ISNUMBER('Resol  Asuntos'!D14/NºAsuntos!G14),'Resol  Asuntos'!D14/NºAsuntos!G14," - ")</f>
        <v>0.28742514970059879</v>
      </c>
      <c r="BJ14" s="1198" t="str">
        <f>IF(ISNUMBER(Datos!CI14/Datos!CJ14),Datos!CI14/Datos!CJ14," - ")</f>
        <v xml:space="preserve"> - </v>
      </c>
      <c r="BK14" s="1198">
        <f>SUBTOTAL(9,BK8:BK13)</f>
        <v>0</v>
      </c>
      <c r="BL14" s="1198">
        <f>IF(ISNUMBER((I14-AB14+L14)/(F14)),(I14-AB14+L14)/(F14)," - ")</f>
        <v>-0.3</v>
      </c>
      <c r="BM14" s="1203">
        <f>SUBTOTAL(9,BM9:BM13)</f>
        <v>-9.2329239388062909E-2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986</v>
      </c>
      <c r="G17" s="743">
        <f>IF(ISNUMBER(IF(D_I="SI",Datos!I17,Datos!I17+Datos!AC17)),IF(D_I="SI",Datos!I17,Datos!I17+Datos!AC17)," - ")</f>
        <v>982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499</v>
      </c>
      <c r="AC17" s="240">
        <f>IF(ISNUMBER(Datos!Q17),Datos!Q17," - ")</f>
        <v>7</v>
      </c>
      <c r="AD17" s="374"/>
      <c r="AE17" s="562"/>
      <c r="AF17" s="741">
        <f>IF(ISNUMBER(IF(D_I="SI",Datos!L17,Datos!L17+Datos!AF17)),IF(D_I="SI",Datos!L17,Datos!L17+Datos!AF17)," - ")</f>
        <v>951</v>
      </c>
      <c r="AG17" s="374"/>
      <c r="AH17" s="374"/>
      <c r="AI17" s="374"/>
      <c r="AJ17" s="549"/>
      <c r="AK17" s="374"/>
      <c r="AL17" s="545"/>
      <c r="AM17" s="375">
        <f>IF(ISNUMBER(Datos!R17),Datos!R17," - ")</f>
        <v>100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62</v>
      </c>
      <c r="BD17" s="243">
        <f>IF(ISNUMBER(Datos!N17),Datos!N17," - ")</f>
        <v>260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1.0754310344827587</v>
      </c>
      <c r="BH17" s="764">
        <f>IF(ISNUMBER(((IF(D_I="SI",Datos!L17/Datos!K17,(Datos!L17+Datos!AF17)/(Datos!K17+Datos!AE17)))*11)/factor_trimestre),((IF(D_I="SI",Datos!L17/Datos!K17,(Datos!L17+Datos!AF17)/(Datos!K17+Datos!AE17)))*11)/factor_trimestre," - ")</f>
        <v>5.7174348697394786</v>
      </c>
      <c r="BI17" s="266">
        <f>IF(ISNUMBER('Resol  Asuntos'!D17/NºAsuntos!G17),'Resol  Asuntos'!D17/NºAsuntos!G17," - ")</f>
        <v>0.12424849699398798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0.89583333333333337</v>
      </c>
      <c r="BH18" s="764">
        <f>IF(ISNUMBER(((IF(D_I="SI",Datos!L18/Datos!K18,(Datos!L18+Datos!AF18)/(Datos!K18+Datos!AE18)))*11)/factor_trimestre),((IF(D_I="SI",Datos!L18/Datos!K18,(Datos!L18+Datos!AF18)/(Datos!K18+Datos!AE18)))*11)/factor_trimestre," - ")</f>
        <v>3.0697674418604652</v>
      </c>
      <c r="BI18" s="763">
        <f>IF(ISNUMBER('Resol  Asuntos'!D18/NºAsuntos!G18),'Resol  Asuntos'!D18/NºAsuntos!G18," - ")</f>
        <v>0.13953488372093023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986</v>
      </c>
      <c r="G23" s="1197">
        <f>SUBTOTAL(9,G16:G22)</f>
        <v>1021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542</v>
      </c>
      <c r="AC23" s="1198">
        <f t="shared" si="5"/>
        <v>7</v>
      </c>
      <c r="AD23" s="1198">
        <f t="shared" si="5"/>
        <v>0</v>
      </c>
      <c r="AE23" s="1198">
        <f t="shared" si="5"/>
        <v>0</v>
      </c>
      <c r="AF23" s="1198">
        <f t="shared" si="5"/>
        <v>995</v>
      </c>
      <c r="AG23" s="1198">
        <f t="shared" si="5"/>
        <v>0</v>
      </c>
      <c r="AH23" s="1198">
        <f t="shared" si="5"/>
        <v>0</v>
      </c>
      <c r="AI23" s="1198">
        <f t="shared" si="5"/>
        <v>0</v>
      </c>
      <c r="AJ23" s="1198">
        <f t="shared" si="5"/>
        <v>0</v>
      </c>
      <c r="AK23" s="1198">
        <f t="shared" si="5"/>
        <v>0</v>
      </c>
      <c r="AL23" s="1198">
        <f t="shared" si="5"/>
        <v>0</v>
      </c>
      <c r="AM23" s="1198">
        <f t="shared" si="5"/>
        <v>100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292</v>
      </c>
      <c r="BE23" s="1198">
        <f t="shared" si="5"/>
        <v>0</v>
      </c>
      <c r="BF23" s="1198">
        <f t="shared" si="5"/>
        <v>0</v>
      </c>
      <c r="BG23" s="1198">
        <f>IF(ISNUMBER(Datos!K23/Datos!J23),Datos!K23/Datos!J23," - ")</f>
        <v>1.05859375</v>
      </c>
      <c r="BH23" s="1202">
        <f>IF(ISNUMBER(((Datos!L23/Datos!K23)*11)/factor_trimestre),((Datos!L23/Datos!K23)*11)/factor_trimestre," - ")</f>
        <v>5.5073800738007375</v>
      </c>
      <c r="BI23" s="1198">
        <f>SUBTOTAL(9,BI16:BI22)</f>
        <v>0.26378338071491819</v>
      </c>
      <c r="BJ23" s="1198">
        <f>SUBTOTAL(9,BJ16:BJ22)</f>
        <v>0</v>
      </c>
      <c r="BK23" s="1198">
        <f>SUBTOTAL(9,BK16:BK22)</f>
        <v>0</v>
      </c>
      <c r="BL23" s="1198">
        <f>IF(ISNUMBER((I23-AB23+L23)/(F23)),(I23-AB23+L23)/(F23)," - ")</f>
        <v>-0.5496957403651116</v>
      </c>
      <c r="BM23" s="1205">
        <f>IF(ISNUMBER((Datos!P23-Datos!Q23)/(Datos!R23-Datos!P23+Datos!Q23)),(Datos!P23-Datos!Q23)/(Datos!R23-Datos!P23+Datos!Q23)," - ")</f>
        <v>1.0101010101010102E-2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996</v>
      </c>
      <c r="G31" s="1117">
        <f t="shared" si="18"/>
        <v>1031</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545</v>
      </c>
      <c r="AC31" s="1118">
        <f t="shared" si="19"/>
        <v>112</v>
      </c>
      <c r="AD31" s="1118">
        <f t="shared" si="19"/>
        <v>0</v>
      </c>
      <c r="AE31" s="1118">
        <f t="shared" si="19"/>
        <v>0</v>
      </c>
      <c r="AF31" s="1125">
        <f t="shared" si="19"/>
        <v>1004</v>
      </c>
      <c r="AG31" s="1125">
        <f t="shared" si="19"/>
        <v>0</v>
      </c>
      <c r="AH31" s="1125">
        <f t="shared" si="19"/>
        <v>110</v>
      </c>
      <c r="AI31" s="1125">
        <f t="shared" si="19"/>
        <v>0</v>
      </c>
      <c r="AJ31" s="1118">
        <f t="shared" si="19"/>
        <v>0</v>
      </c>
      <c r="AK31" s="1125">
        <f t="shared" si="19"/>
        <v>0</v>
      </c>
      <c r="AL31" s="1125">
        <f t="shared" si="19"/>
        <v>0</v>
      </c>
      <c r="AM31" s="1125">
        <f t="shared" si="19"/>
        <v>3222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212</v>
      </c>
      <c r="BD31" s="1117">
        <f t="shared" si="19"/>
        <v>424</v>
      </c>
      <c r="BE31" s="1117">
        <f t="shared" si="19"/>
        <v>0</v>
      </c>
      <c r="BF31" s="1127">
        <f t="shared" si="19"/>
        <v>0</v>
      </c>
      <c r="BG31" s="1223">
        <f>IF(ISNUMBER(Datos!K31/Datos!J31),Datos!K31/Datos!J31," - ")</f>
        <v>1.0394600207684319</v>
      </c>
      <c r="BH31" s="1223">
        <f>IF(ISNUMBER(((Datos!L31/Datos!K31)*11)/factor_trimestre),((Datos!L31/Datos!K31)*11)/factor_trimestre," - ")</f>
        <v>7.2557442557442551</v>
      </c>
      <c r="BI31" s="1103">
        <f>IF(ISNUMBER(Datos!J31/Datos!I31),Datos!J31/Datos!I31," - ")</f>
        <v>0.3937040065412919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-0.54718875502008035</v>
      </c>
      <c r="BM31" s="1188">
        <f>IF(ISNUMBER((Datos!P31-Datos!Q31+R31)/(Datos!R31-Datos!P31+Datos!Q31-R31)),(Datos!P31-Datos!Q31+R31)/(Datos!R31-Datos!P31+Datos!Q31-R31)," - ")</f>
        <v>2.4891101431238332E-3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506.60596127562496</v>
      </c>
      <c r="G33" s="674">
        <f>IF(ISNUMBER(STDEV(G8:G30)),STDEV(G8:G30),"-")</f>
        <v>483.2321240504254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249.96780745108913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61.711309452042208</v>
      </c>
      <c r="BD33" s="673"/>
      <c r="BE33" s="673">
        <f>IF(ISNUMBER(STDEV(BE8:BE30)),STDEV(BE8:BE30),"-")</f>
        <v>0</v>
      </c>
      <c r="BF33" s="678">
        <f>IF(ISNUMBER(STDEV(BF8:BF30)),STDEV(BF8:BF30),"-")</f>
        <v>0</v>
      </c>
      <c r="BG33" s="1052">
        <f>IF(ISNUMBER(STDEV(BG8:BG30)),STDEV(BG8:BG30),"-")</f>
        <v>0.2070663039416894</v>
      </c>
      <c r="BH33" s="1058">
        <f>IF(ISNUMBER(STDEV(BH8:BH30)),STDEV(BH8:BH30),"-")</f>
        <v>2.5896772193481215</v>
      </c>
      <c r="BI33" s="273">
        <f>IF(ISNUMBER(STDEV(BI8:BI30)),STDEV(BI8:BI30),"-")</f>
        <v>8.376476506676675E-2</v>
      </c>
      <c r="BJ33" s="244" t="str">
        <f>IF(ISNUMBER(BL33/BM33),BL33/BM33," - ")</f>
        <v xml:space="preserve"> - </v>
      </c>
      <c r="BK33" s="709"/>
      <c r="BL33" s="681">
        <f>IF(ISNUMBER(STDEV(BL8:BL30)),STDEV(BL8:BL30),"-")</f>
        <v>0.176561551245566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ED6grrvhghuCxLbq005mlqaYTnedDpjjfCSJpiJLk26kTUNIclH3RrYqtHxpGfJzBFRHqSPhE6NeT92q2uOzw==" saltValue="R1X72jUSAlObqv2fvR1z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HELLIN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6</v>
      </c>
      <c r="AA10" s="551">
        <f>IF(ISNUMBER(Datos!L10),Datos!L10,"-")</f>
        <v>9</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3103</v>
      </c>
      <c r="AF12" s="693" t="str">
        <f>IF(ISNUMBER(Datos!BV12),Datos!BV12," - ")</f>
        <v xml:space="preserve"> - </v>
      </c>
      <c r="AG12" s="552" t="str">
        <f>IF(ISNUMBER(Datos!DV12),Datos!DV12," - ")</f>
        <v xml:space="preserve"> - </v>
      </c>
      <c r="AH12" s="553"/>
      <c r="AI12" s="554"/>
      <c r="AJ12" s="552">
        <f>IF(ISNUMBER(Datos!M12),Datos!M12," - ")</f>
        <v>141</v>
      </c>
      <c r="AK12" s="693">
        <f>IF(ISNUMBER(Datos!N12),Datos!N12," - ")</f>
        <v>132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9.1987951807228914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2.9088558500323207E-3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105</v>
      </c>
      <c r="AA14" s="1199">
        <f t="shared" si="3"/>
        <v>9</v>
      </c>
      <c r="AB14" s="1199">
        <f t="shared" si="3"/>
        <v>0</v>
      </c>
      <c r="AC14" s="1199">
        <f t="shared" si="3"/>
        <v>0</v>
      </c>
      <c r="AD14" s="1199">
        <f t="shared" si="3"/>
        <v>0</v>
      </c>
      <c r="AE14" s="1199">
        <f t="shared" si="3"/>
        <v>3122</v>
      </c>
      <c r="AF14" s="1211">
        <f t="shared" si="3"/>
        <v>0</v>
      </c>
      <c r="AG14" s="1211">
        <f t="shared" si="3"/>
        <v>0</v>
      </c>
      <c r="AH14" s="1211">
        <f t="shared" si="3"/>
        <v>0</v>
      </c>
      <c r="AI14" s="1211">
        <f t="shared" si="3"/>
        <v>0</v>
      </c>
      <c r="AJ14" s="1211">
        <f t="shared" si="3"/>
        <v>144</v>
      </c>
      <c r="AK14" s="1211">
        <f t="shared" si="3"/>
        <v>132</v>
      </c>
      <c r="AL14" s="1211">
        <f t="shared" si="3"/>
        <v>0</v>
      </c>
      <c r="AM14" s="1211">
        <f t="shared" si="3"/>
        <v>0</v>
      </c>
      <c r="AN14" s="1211">
        <f t="shared" si="3"/>
        <v>0</v>
      </c>
      <c r="AO14" s="1203">
        <f>IF(ISNUMBER(((NºAsuntos!I14/NºAsuntos!G14)*11)/factor_trimestre),((NºAsuntos!I14/NºAsuntos!G14)*11)/factor_trimestre," - ")</f>
        <v>9.1976047904191631</v>
      </c>
      <c r="AP14" s="1213" t="str">
        <f>IF(ISNUMBER(Datos!CI14/Datos!CJ14),Datos!CI14/Datos!CJ14," - ")</f>
        <v xml:space="preserve"> - </v>
      </c>
      <c r="AQ14" s="1236">
        <f t="shared" ref="AQ14:AV14" si="4">SUBTOTAL(9,AQ9:AQ13)</f>
        <v>0</v>
      </c>
      <c r="AR14" s="1236">
        <f t="shared" si="4"/>
        <v>-9.2329239388062909E-2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986</v>
      </c>
      <c r="G17" s="552">
        <f>IF(ISNUMBER(IF(D_I="SI",Datos!I17,Datos!I17+Datos!AC17)),IF(D_I="SI",Datos!I17,Datos!I17+Datos!AC17)," - ")</f>
        <v>982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499</v>
      </c>
      <c r="Z17" s="805">
        <f>IF(ISNUMBER(Datos!Q17),Datos!Q17," - ")</f>
        <v>7</v>
      </c>
      <c r="AA17" s="551">
        <f>IF(ISNUMBER(IF(D_I="SI",Datos!L17,Datos!L17+Datos!AF17)),IF(D_I="SI",Datos!L17,Datos!L17+Datos!AF17)," - ")</f>
        <v>951</v>
      </c>
      <c r="AB17" s="549"/>
      <c r="AC17" s="549"/>
      <c r="AD17" s="563"/>
      <c r="AE17" s="563">
        <f>IF(ISNUMBER(Datos!R17),Datos!R17," - ")</f>
        <v>100</v>
      </c>
      <c r="AF17" s="693" t="str">
        <f>IF(ISNUMBER(Datos!BV17),Datos!BV17," - ")</f>
        <v xml:space="preserve"> - </v>
      </c>
      <c r="AG17" s="552"/>
      <c r="AH17" s="553"/>
      <c r="AI17" s="554"/>
      <c r="AJ17" s="552">
        <f>IF(ISNUMBER(Datos!M17),Datos!M17," - ")</f>
        <v>62</v>
      </c>
      <c r="AK17" s="693">
        <f>IF(ISNUMBER(Datos!N17),Datos!N17," - ")</f>
        <v>260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5.7174348697394786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3.0697674418604652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986</v>
      </c>
      <c r="G23" s="1197">
        <f>SUBTOTAL(9,G16:G22)</f>
        <v>1021</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542</v>
      </c>
      <c r="Z23" s="1240">
        <f t="shared" si="6"/>
        <v>7</v>
      </c>
      <c r="AA23" s="1240">
        <f t="shared" si="6"/>
        <v>995</v>
      </c>
      <c r="AB23" s="1240">
        <f t="shared" si="6"/>
        <v>0</v>
      </c>
      <c r="AC23" s="1240">
        <f t="shared" si="6"/>
        <v>0</v>
      </c>
      <c r="AD23" s="1240">
        <f t="shared" si="6"/>
        <v>0</v>
      </c>
      <c r="AE23" s="1240">
        <f t="shared" si="6"/>
        <v>100</v>
      </c>
      <c r="AF23" s="1240">
        <f t="shared" si="6"/>
        <v>0</v>
      </c>
      <c r="AG23" s="1240">
        <f t="shared" si="6"/>
        <v>0</v>
      </c>
      <c r="AH23" s="1240">
        <f t="shared" si="6"/>
        <v>0</v>
      </c>
      <c r="AI23" s="1240">
        <f t="shared" si="6"/>
        <v>0</v>
      </c>
      <c r="AJ23" s="1240">
        <f t="shared" si="6"/>
        <v>68</v>
      </c>
      <c r="AK23" s="1240">
        <f t="shared" si="6"/>
        <v>292</v>
      </c>
      <c r="AL23" s="1240">
        <f t="shared" si="6"/>
        <v>0</v>
      </c>
      <c r="AM23" s="1240">
        <f t="shared" si="6"/>
        <v>0</v>
      </c>
      <c r="AN23" s="1240">
        <f t="shared" si="6"/>
        <v>0</v>
      </c>
      <c r="AO23" s="1242">
        <f>IF(ISNUMBER(((NºAsuntos!I23/NºAsuntos!G23)*11)/factor_trimestre),((NºAsuntos!I23/NºAsuntos!G23)*11)/factor_trimestre," - ")</f>
        <v>5.5073800738007375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996</v>
      </c>
      <c r="G31" s="1117">
        <f t="shared" si="12"/>
        <v>1031</v>
      </c>
      <c r="H31" s="1118">
        <f t="shared" si="12"/>
        <v>0</v>
      </c>
      <c r="I31" s="1117">
        <f t="shared" si="12"/>
        <v>0</v>
      </c>
      <c r="J31" s="1119">
        <f t="shared" si="12"/>
        <v>0</v>
      </c>
      <c r="K31" s="1117">
        <f t="shared" si="12"/>
        <v>0</v>
      </c>
      <c r="L31" s="1120">
        <f t="shared" si="12"/>
        <v>0</v>
      </c>
      <c r="M31" s="1117">
        <f t="shared" si="12"/>
        <v>0</v>
      </c>
      <c r="N31" s="1118">
        <f t="shared" si="12"/>
        <v>120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545</v>
      </c>
      <c r="Z31" s="1124">
        <f t="shared" si="13"/>
        <v>112</v>
      </c>
      <c r="AA31" s="1125">
        <f t="shared" si="13"/>
        <v>1004</v>
      </c>
      <c r="AB31" s="1125">
        <f t="shared" si="13"/>
        <v>0</v>
      </c>
      <c r="AC31" s="1125">
        <f t="shared" si="13"/>
        <v>0</v>
      </c>
      <c r="AD31" s="1126">
        <f t="shared" si="13"/>
        <v>0</v>
      </c>
      <c r="AE31" s="1126">
        <f t="shared" si="13"/>
        <v>3222</v>
      </c>
      <c r="AF31" s="1127">
        <f t="shared" si="13"/>
        <v>0</v>
      </c>
      <c r="AG31" s="1128">
        <f t="shared" si="13"/>
        <v>0</v>
      </c>
      <c r="AH31" s="1129">
        <f t="shared" si="13"/>
        <v>0</v>
      </c>
      <c r="AI31" s="1127">
        <f t="shared" si="13"/>
        <v>0</v>
      </c>
      <c r="AJ31" s="1117">
        <f t="shared" si="13"/>
        <v>212</v>
      </c>
      <c r="AK31" s="1117">
        <f t="shared" si="13"/>
        <v>424</v>
      </c>
      <c r="AL31" s="1117">
        <f t="shared" si="13"/>
        <v>0</v>
      </c>
      <c r="AM31" s="1130">
        <f t="shared" si="13"/>
        <v>0</v>
      </c>
      <c r="AN31" s="1120">
        <f>IF(ISNUMBER(Datos!K31/Datos!J31),Datos!K31/Datos!J31," - ")</f>
        <v>1.0394600207684319</v>
      </c>
      <c r="AO31" s="1120">
        <f>IF(ISNUMBER(FIND("06",Criterios!A8,1)),(IF(ISNUMBER(((Datos!R31/Datos!Q31)*11)/factor_trimestre),((Datos!R31/Datos!Q31)*11)/factor_trimestre," - ")),(IF(ISNUMBER(((Datos!L31/Datos!K31)*11)/factor_trimestre),((Datos!L31/Datos!K31)*11)/factor_trimestre," - ")))</f>
        <v>7.2557442557442551</v>
      </c>
      <c r="AP31" s="1131" t="str">
        <f>IF(ISNUMBER(Datos!CI31/Datos!CJ31),Datos!CI31/Datos!CJ31," - ")</f>
        <v xml:space="preserve"> - </v>
      </c>
      <c r="AQ31" s="1131">
        <f>IF(OR(ISNUMBER(FIND("01",Criterios!A8,1)),ISNUMBER(FIND("02",Criterios!A8,1)),ISNUMBER(FIND("03",Criterios!A8,1)),ISNUMBER(FIND("04",Criterios!A8,1))),(J31-Y31+K31)/(F31-K31),(I31-Y31+K31)/(F31-K31))</f>
        <v>-0.54718875502008035</v>
      </c>
      <c r="AR31" s="1131">
        <f>IF(ISNUMBER((Datos!P31-Datos!Q31+O31)/(Datos!R31-Datos!P31+Datos!Q31-O31)),(Datos!P31-Datos!Q31+O31)/(Datos!R31-Datos!P31+Datos!Q31-O31)," - ")</f>
        <v>2.4891101431238332E-3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506.60596127562496</v>
      </c>
      <c r="G33" s="674">
        <f>IF(ISNUMBER(STDEV(G8:G30)),STDEV(G8:G30),"-")</f>
        <v>483.2321240504254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61.711309452042208</v>
      </c>
      <c r="AK33" s="276"/>
      <c r="AL33" s="276">
        <f>IF(ISNUMBER(STDEV(AL8:AL30)),STDEV(AL8:AL30),"-")</f>
        <v>0</v>
      </c>
      <c r="AM33" s="278">
        <f>IF(ISNUMBER(STDEV(AM8:AM30)),STDEV(AM8:AM30),"-")</f>
        <v>0</v>
      </c>
      <c r="AN33" s="660">
        <f>IF(ISNUMBER(STDEV(AN8:AN30)),STDEV(AN8:AN30),"-")</f>
        <v>0</v>
      </c>
      <c r="AO33" s="661">
        <f>IF(ISNUMBER(STDEV(AO8:AO30)),STDEV(AO8:AO30),"-")</f>
        <v>2.567795446012898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r2TGW8yMdwwNAymVNV9UbqXhERnjgN66XQbArghOU+aun29qTd1jrWxOPOxWzXSLIHPrHHp91XFFWeLtBNVww==" saltValue="mE9Pw67sEi4UGpAC3hqo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9bnPOkZStXrIn63Rn0JQgaXXPorIJcH3z7vCY4FvZujLauDF8leXEsXU/Ku2O8BFBtDZHT5N8qkJA05Cj+n+Q==" saltValue="9/v53oIE1fF47OLvMuil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i8OfLPQsb8sDbnsEC5yJscr2/BU4n/RRC9OSQx7AGhDMzaE06bGX+WsKSxLnIxv1WgqS9moQeIuFfLrk5ufLQ==" saltValue="ThVOGpwWavcCgmKCgcZy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HELLIN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0.28742514970059879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0.20324027243685197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XG0UR10r3er8JnaMQiv7Ht5Hnye3S7Vbop8QCWFVHIGsmBJrKSyVzCYu/XUBhjth6SPeBjPmwpm3J3n6BKHpw==" saltValue="miC/Ekkr0gJINevtWhiF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S0pokBOA/PrTpPEH8BbdRfHDqNvkAxM4yxIwXuFay6qyRDDsDz5hcbXvTd9n7tb/DbNdvwavSLe/Uvqo4y7Ag==" saltValue="x3lMzBPDaOQdt7TLn+vV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HELLIN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v>
      </c>
      <c r="F10" s="452">
        <f>IF(ISNUMBER(E10/B10),E10/B10," - ")</f>
        <v>2</v>
      </c>
      <c r="G10" s="451">
        <f>IF(ISNUMBER(Datos!K10),Datos!K10," - ")</f>
        <v>3</v>
      </c>
      <c r="H10" s="452">
        <f>IF(ISNUMBER(G10/B10),G10/B10," - ")</f>
        <v>3</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1537</v>
      </c>
      <c r="D12" s="452">
        <f>IF(ISNUMBER(C12/Datos!BH12),C12/Datos!BH12," - ")</f>
        <v>512.33333333333337</v>
      </c>
      <c r="E12" s="451">
        <f>IF(ISNUMBER(IF(J_V="SI",Datos!J12,Datos!J12+Datos!Z12)),IF(J_V="SI",Datos!J12,Datos!J12+Datos!Z12)," - ")</f>
        <v>479</v>
      </c>
      <c r="F12" s="452">
        <f>IF(ISNUMBER(E12/B12),E12/B12," - ")</f>
        <v>159.66666666666666</v>
      </c>
      <c r="G12" s="451">
        <f>IF(ISNUMBER(IF(J_V="SI",Datos!K12,Datos!K12+Datos!AA12)),IF(J_V="SI",Datos!K12,Datos!K12+Datos!AA12)," - ")</f>
        <v>498</v>
      </c>
      <c r="H12" s="452">
        <f>IF(ISNUMBER(G12/B12),G12/B12," - ")</f>
        <v>166</v>
      </c>
      <c r="I12" s="451">
        <f>IF(ISNUMBER(IF(J_V="SI",Datos!L12,Datos!L12+Datos!AB12)),IF(J_V="SI",Datos!L12,Datos!L12+Datos!AB12)," - ")</f>
        <v>1527</v>
      </c>
      <c r="J12" s="452">
        <f>IF(ISNUMBER(I12/B12),I12/B12," - ")</f>
        <v>509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1547</v>
      </c>
      <c r="D14" s="1147" t="str">
        <f>IF(ISNUMBER(C14/Datos!BI14),C14/Datos!BI14," - ")</f>
        <v xml:space="preserve"> - </v>
      </c>
      <c r="E14" s="1146">
        <f>SUBTOTAL(9,E8:E13)</f>
        <v>481</v>
      </c>
      <c r="F14" s="1147">
        <f>IF(ISNUMBER(E14/B14),E14/B14," - ")</f>
        <v>160.33333333333334</v>
      </c>
      <c r="G14" s="1146">
        <f>SUBTOTAL(9,G8:G13)</f>
        <v>501</v>
      </c>
      <c r="H14" s="1147">
        <f>IF(ISNUMBER(G14/B14),G14/B14," - ")</f>
        <v>167</v>
      </c>
      <c r="I14" s="1146">
        <f>SUBTOTAL(9,I8:I13)</f>
        <v>1536</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982</v>
      </c>
      <c r="D17" s="452">
        <f>IF(ISNUMBER(C17/Datos!BH17),C17/Datos!BH17," - ")</f>
        <v>327.33333333333331</v>
      </c>
      <c r="E17" s="451">
        <f>IF(ISNUMBER(IF(D_I="SI",Datos!J17,Datos!J17+Datos!AD17)),IF(D_I="SI",Datos!J17,Datos!J17+Datos!AD17)," - ")</f>
        <v>464</v>
      </c>
      <c r="F17" s="452">
        <f>IF(ISNUMBER(E17/B17),E17/B17," - ")</f>
        <v>154.66666666666666</v>
      </c>
      <c r="G17" s="451">
        <f>IF(ISNUMBER(IF(D_I="SI",Datos!K17,Datos!K17+Datos!AE17)),IF(D_I="SI",Datos!K17,Datos!K17+Datos!AE17)," - ")</f>
        <v>499</v>
      </c>
      <c r="H17" s="452">
        <f>IF(ISNUMBER(G17/B17),G17/B17," - ")</f>
        <v>166.33333333333334</v>
      </c>
      <c r="I17" s="451">
        <f>IF(ISNUMBER(IF(D_I="SI",Datos!L17,Datos!L17+Datos!AF17)),IF(D_I="SI",Datos!L17,Datos!L17+Datos!AF17)," - ")</f>
        <v>951</v>
      </c>
      <c r="J17" s="452">
        <f>IF(ISNUMBER(I17/B17),I17/B17," - ")</f>
        <v>317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48</v>
      </c>
      <c r="F18" s="452">
        <f>IF(ISNUMBER(E18/B18),E18/B18," - ")</f>
        <v>48</v>
      </c>
      <c r="G18" s="451">
        <f>IF(ISNUMBER(IF(D_I="SI",Datos!K18,Datos!K18+Datos!AE18)),IF(D_I="SI",Datos!K18,Datos!K18+Datos!AE18)," - ")</f>
        <v>43</v>
      </c>
      <c r="H18" s="452">
        <f>IF(ISNUMBER(G18/B18),G18/B18," - ")</f>
        <v>43</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1021</v>
      </c>
      <c r="D23" s="1147" t="str">
        <f>IF(ISNUMBER(C23/Datos!BI23),C23/Datos!BI23," - ")</f>
        <v xml:space="preserve"> - </v>
      </c>
      <c r="E23" s="1146">
        <f>SUBTOTAL(9,E15:E22)</f>
        <v>512</v>
      </c>
      <c r="F23" s="1147">
        <f>IF(ISNUMBER(E23/B23),E23/B23," - ")</f>
        <v>170.66666666666666</v>
      </c>
      <c r="G23" s="1146">
        <f>SUBTOTAL(9,G15:G22)</f>
        <v>542</v>
      </c>
      <c r="H23" s="1147">
        <f>IF(ISNUMBER(G23/B23),G23/B23," - ")</f>
        <v>180.66666666666666</v>
      </c>
      <c r="I23" s="1146">
        <f>SUBTOTAL(9,I15:I22)</f>
        <v>995</v>
      </c>
      <c r="J23" s="1147">
        <f>IF(ISNUMBER(I23/B23),I23/B23," - ")</f>
        <v>331.66666666666669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2568</v>
      </c>
      <c r="D31" s="1085" t="str">
        <f>IF(ISNUMBER(C31/Datos!BI31),C31/Datos!BI31," - ")</f>
        <v xml:space="preserve"> - </v>
      </c>
      <c r="E31" s="1084">
        <f>SUBTOTAL(9,E9:E30)</f>
        <v>993</v>
      </c>
      <c r="F31" s="1085">
        <f>IF(ISNUMBER(E31/B31),E31/B31," - ")</f>
        <v>331</v>
      </c>
      <c r="G31" s="1084">
        <f>SUBTOTAL(9,G9:G30)</f>
        <v>1043</v>
      </c>
      <c r="H31" s="1085">
        <f>IF(ISNUMBER(G31/B31),G31/B31," - ")</f>
        <v>347.66666666666669</v>
      </c>
      <c r="I31" s="1084">
        <f>SUBTOTAL(9,I9:I30)</f>
        <v>2531</v>
      </c>
      <c r="J31" s="1085">
        <f>IF(ISNUMBER(I31/B31),I31/B31," - ")</f>
        <v>843.66666666666663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opj6gts5n8Pi+cmsRSayz6yumJQMGBxNOd4zbvGxc3hz+/y8OQ0qH5nwOjv2GXkCowMJUtrkqk6LnOj2W9KSzw==" saltValue="fsrkokjUr1zz4LsSrhwX1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HELLIN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141</v>
      </c>
      <c r="AM12" s="914">
        <f>IF(ISNUMBER(Datos!N12+DatosP!N17),Datos!N12+DatosP!N17," - ")</f>
        <v>132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9.1987951807228914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2.9088558500323207E-3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99</v>
      </c>
      <c r="AE14" s="1257">
        <f t="shared" si="1"/>
        <v>0</v>
      </c>
      <c r="AF14" s="1257">
        <f t="shared" si="1"/>
        <v>9</v>
      </c>
      <c r="AG14" s="1257">
        <f t="shared" si="1"/>
        <v>0</v>
      </c>
      <c r="AH14" s="1257">
        <f t="shared" si="1"/>
        <v>3103</v>
      </c>
      <c r="AI14" s="1257">
        <f t="shared" si="1"/>
        <v>0</v>
      </c>
      <c r="AJ14" s="1257">
        <f t="shared" si="1"/>
        <v>0</v>
      </c>
      <c r="AK14" s="1257">
        <f t="shared" si="1"/>
        <v>0</v>
      </c>
      <c r="AL14" s="1257">
        <f t="shared" si="1"/>
        <v>144</v>
      </c>
      <c r="AM14" s="1257">
        <f t="shared" si="1"/>
        <v>132</v>
      </c>
      <c r="AN14" s="1257">
        <f t="shared" si="1"/>
        <v>0</v>
      </c>
      <c r="AO14" s="1257">
        <f t="shared" si="1"/>
        <v>0</v>
      </c>
      <c r="AP14" s="1262">
        <f>IF(ISNUMBER(((Datos!L14/Datos!K14)*11)/factor_trimestre),((Datos!L14/Datos!K14)*11)/factor_trimestre," - ")</f>
        <v>9.3202614379084974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v>
      </c>
      <c r="AU14" s="1257" t="str">
        <f>IF(ISNUMBER((DatosP!#REF!-DatosP!#REF!+DatosP!#REF!)/(DatosP!#REF!+DatosP!#REF!-DatosP!#REF!-DatosP!#REF!)),(DatosP!#REF!-DatosP!#REF!+DatosP!#REF!)/(DatosP!#REF!+DatosP!#REF!-DatosP!#REF!-DatosP!#REF!)," - ")</f>
        <v xml:space="preserve"> - </v>
      </c>
      <c r="AV14" s="1263">
        <f>SUBTOTAL(9,AV9:AV13)</f>
        <v>2.9088558500323207E-3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5.5073800738007375</v>
      </c>
      <c r="AQ23" s="1262">
        <f>IF(ISNUMBER(((Datos!M23/Datos!L23)*11)/factor_trimestre),((Datos!M23/Datos!L23)*11)/factor_trimestre," - ")</f>
        <v>0.20502512562814071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1.0101010101010102E-2</v>
      </c>
      <c r="AW23" s="1265">
        <f>IF(ISNUMBER((Datos!Q23-Datos!R23)/(Datos!S23-Datos!Q23+Datos!R23)),(Datos!Q23-Datos!R23)/(Datos!S23-Datos!Q23+Datos!R23)," - ")</f>
        <v>-8.848715509039011E-2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99</v>
      </c>
      <c r="AE31" s="1284">
        <f t="shared" si="9"/>
        <v>0</v>
      </c>
      <c r="AF31" s="1285">
        <f t="shared" si="9"/>
        <v>9</v>
      </c>
      <c r="AG31" s="1285">
        <f t="shared" si="9"/>
        <v>0</v>
      </c>
      <c r="AH31" s="1285">
        <f t="shared" si="9"/>
        <v>3103</v>
      </c>
      <c r="AI31" s="1285">
        <f t="shared" si="9"/>
        <v>0</v>
      </c>
      <c r="AJ31" s="1286">
        <f t="shared" si="9"/>
        <v>0</v>
      </c>
      <c r="AK31" s="1286">
        <f t="shared" si="9"/>
        <v>0</v>
      </c>
      <c r="AL31" s="1278">
        <f t="shared" si="9"/>
        <v>144</v>
      </c>
      <c r="AM31" s="1278">
        <f t="shared" si="9"/>
        <v>132</v>
      </c>
      <c r="AN31" s="1278">
        <f t="shared" si="9"/>
        <v>0</v>
      </c>
      <c r="AO31" s="1278">
        <f t="shared" si="9"/>
        <v>0</v>
      </c>
      <c r="AP31" s="1278">
        <f>IF(ISNUMBER(((Datos!L31/Datos!K31)*11)/factor_trimestre),((Datos!L31/Datos!K31)*11)/factor_trimestre," - ")</f>
        <v>7.2557442557442551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2.4891101431238332E-3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73.214752611751678</v>
      </c>
      <c r="AM33" s="1006"/>
      <c r="AN33" s="1006">
        <f>IF(ISNUMBER(STDEV(AN8:AN30)),STDEV(AN8:AN30),"-")</f>
        <v>0</v>
      </c>
      <c r="AO33" s="1012">
        <f>IF(ISNUMBER(STDEV(AO8:AO30)),STDEV(AO8:AO30),"-")</f>
        <v>0</v>
      </c>
      <c r="AP33" s="1065">
        <f>IF(ISNUMBER(STDEV(AP8:AP30)),STDEV(AP8:AP30),"-")</f>
        <v>1.8375673389335061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y3NRxU7sd249qpkjFgSoVBRXN52R9Nt6xCYakJSKUcG+MLgtdpeY4SoInNIGDLWjy+k1ZcBFYjzzPZ62Tfbgg==" saltValue="97giejyz1VBdQZwf2H12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HELLIN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nuA7M04cjRudLzd+ZNgBFRcMNRDKt8hr3p0XItkRVkzffORgACGlrwC4hzZowgW6ePfyRtnV+mGqFkAxwHfHA==" saltValue="Z25vC3tg7hXdPNOiTKMj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HELLIN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141</v>
      </c>
      <c r="E12" s="452">
        <f t="shared" si="0"/>
        <v>47</v>
      </c>
      <c r="F12" s="451">
        <f>IF(ISNUMBER(Datos!N12),Datos!N12," - ")</f>
        <v>132</v>
      </c>
      <c r="G12" s="452">
        <f t="shared" si="1"/>
        <v>44</v>
      </c>
      <c r="H12" s="451">
        <f>IF(ISNUMBER(Datos!O12),Datos!O12," - ")</f>
        <v>312</v>
      </c>
      <c r="I12" s="452">
        <f t="shared" si="2"/>
        <v>104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144</v>
      </c>
      <c r="E14" s="1147">
        <f t="shared" si="0"/>
        <v>36</v>
      </c>
      <c r="F14" s="1146">
        <f>SUBTOTAL(9,F9:F13)</f>
        <v>132</v>
      </c>
      <c r="G14" s="1147">
        <f t="shared" si="1"/>
        <v>33</v>
      </c>
      <c r="H14" s="1146">
        <f>SUBTOTAL(9,H9:H13)</f>
        <v>318</v>
      </c>
      <c r="I14" s="1147">
        <f>IF(ISNUMBER(H14/B14),H14/B14," - ")</f>
        <v>79.5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62</v>
      </c>
      <c r="E17" s="452">
        <f t="shared" si="3"/>
        <v>20.666666666666668</v>
      </c>
      <c r="F17" s="451">
        <f>IF(ISNUMBER(Datos!N17),Datos!N17," - ")</f>
        <v>260</v>
      </c>
      <c r="G17" s="452">
        <f t="shared" si="4"/>
        <v>86.666666666666671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68</v>
      </c>
      <c r="E23" s="1147">
        <f t="shared" si="3"/>
        <v>17</v>
      </c>
      <c r="F23" s="1146">
        <f>SUBTOTAL(9,F16:F22)</f>
        <v>292</v>
      </c>
      <c r="G23" s="1147">
        <f t="shared" si="4"/>
        <v>73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212</v>
      </c>
      <c r="E31" s="1085">
        <f>IF(ISNUMBER(D31/B31),D31/B31," - ")</f>
        <v>70.666666666666671</v>
      </c>
      <c r="F31" s="1084">
        <f>SUBTOTAL(9,F8:F30)</f>
        <v>424</v>
      </c>
      <c r="G31" s="1085">
        <f>IF(ISNUMBER(F31/B31),F31/B31," - ")</f>
        <v>141.33333333333334</v>
      </c>
      <c r="H31" s="1084">
        <f>SUBTOTAL(9,H8:H30)</f>
        <v>318</v>
      </c>
      <c r="I31" s="1085">
        <f>IF(ISNUMBER(H31/B31),H31/B31," - ")</f>
        <v>106</v>
      </c>
    </row>
    <row r="34" spans="1:1">
      <c r="A34" s="439" t="str">
        <f>Criterios!A4</f>
        <v>Fecha Informe: 05 may. 2023</v>
      </c>
    </row>
    <row r="39" spans="1:1">
      <c r="A39" s="462"/>
    </row>
  </sheetData>
  <sheetProtection algorithmName="SHA-512" hashValue="ZLbVUc965Rs3/a893U9v3L9sb+t2nGucstWcVz9UA4QKLfi2jCW6fdb3UzV1egoFSsJAwG3VHb8LicA06k4OPQ==" saltValue="/vNWmVFD+9ZQiM1wPP0N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HELLIN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6</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108</v>
      </c>
      <c r="C12" s="489">
        <f>IF(ISNUMBER(Datos!Q12),Datos!Q12," - ")</f>
        <v>99</v>
      </c>
      <c r="D12" s="456">
        <f>IF(ISNUMBER(Datos!R12),Datos!R12," - ")</f>
        <v>3103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v>
      </c>
      <c r="C14" s="1150">
        <f>SUBTOTAL(9,C9:C13)</f>
        <v>105</v>
      </c>
      <c r="D14" s="1148">
        <f>SUBTOTAL(9,D9:D13)</f>
        <v>3122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7</v>
      </c>
      <c r="D17" s="456">
        <f>IF(ISNUMBER(Datos!R17),Datos!R17," - ")</f>
        <v>100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7</v>
      </c>
      <c r="D23" s="1148">
        <f>SUBTOTAL(9,D16:D22)</f>
        <v>100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120</v>
      </c>
      <c r="C31" s="1089">
        <f>SUBTOTAL(9,C8:C30)</f>
        <v>112</v>
      </c>
      <c r="D31" s="1090">
        <f>SUBTOTAL(9,D8:D30)</f>
        <v>3222</v>
      </c>
    </row>
    <row r="32" spans="1:4" ht="7.5" customHeight="1"/>
    <row r="33" spans="1:1" ht="6" customHeight="1"/>
    <row r="34" spans="1:1">
      <c r="A34" s="439" t="str">
        <f>Criterios!A4</f>
        <v>Fecha Informe: 05 may. 2023</v>
      </c>
    </row>
    <row r="39" spans="1:1">
      <c r="A39" s="462"/>
    </row>
  </sheetData>
  <sheetProtection algorithmName="SHA-512" hashValue="cNCqHPuSYlEJnFy7PKNr8jMDw2h5IlmMhmJcMGVn65uPuj6N1QTXlR8dVjbW84mBMuwnkk3NtGDiZbT4DXzCmg==" saltValue="Gn6FxRwnbv8s4FuwyjL8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HELLIN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v>
      </c>
      <c r="D10" s="515" t="str">
        <f>IF(ISNUMBER((Datos!K10-Datos!U10)/Datos!U10),(Datos!K10-Datos!U10)/Datos!U10," - ")</f>
        <v xml:space="preserve"> - </v>
      </c>
      <c r="E10" s="515">
        <f>IF(ISNUMBER((Datos!L10-Datos!V10)/Datos!V10),(Datos!L10-Datos!V10)/Datos!V10," - ")</f>
        <v>-0.4375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0.19054996127033308</v>
      </c>
      <c r="C12" s="515">
        <f>IF(ISNUMBER(
   IF(J_V="SI",(Datos!J12-Datos!T12)/Datos!T12,(Datos!J12+Datos!Z12-(Datos!T12+Datos!AH12))/(Datos!T12+Datos!AH12))
     ),IF(J_V="SI",(Datos!J12-Datos!T12)/Datos!T12,(Datos!J12+Datos!Z12-(Datos!T12+Datos!AH12))/(Datos!T12+Datos!AH12))," - ")</f>
        <v>3.9045553145336226E-2</v>
      </c>
      <c r="D12" s="515">
        <f>IF(ISNUMBER(
   IF(J_V="SI",(Datos!K12-Datos!U12)/Datos!U12,(Datos!K12+Datos!AA12-(Datos!U12+Datos!AI12))/(Datos!U12+Datos!AI12))
     ),IF(J_V="SI",(Datos!K12-Datos!U12)/Datos!U12,(Datos!K12+Datos!AA12-(Datos!U12+Datos!AI12))/(Datos!U12+Datos!AI12))," - ")</f>
        <v>0.14220183486238533</v>
      </c>
      <c r="E12" s="515">
        <f>IF(ISNUMBER(
   IF(J_V="SI",(Datos!L12-Datos!V12)/Datos!V12,(Datos!L12+Datos!AB12-(Datos!V12+Datos!AJ12))/(Datos!V12+Datos!AJ12))
     ),IF(J_V="SI",(Datos!L12-Datos!V12)/Datos!V12,(Datos!L12+Datos!AB12-(Datos!V12+Datos!AJ12))/(Datos!V12+Datos!AJ12))," - ")</f>
        <v>0.16033434650455927</v>
      </c>
      <c r="F12" s="515">
        <f>IF(ISNUMBER((Datos!M12-Datos!W12)/Datos!W12),(Datos!M12-Datos!W12)/Datos!W12," - ")</f>
        <v>0</v>
      </c>
      <c r="G12" s="516">
        <f>IF(ISNUMBER((Datos!N12-Datos!X12)/Datos!X12),(Datos!N12-Datos!X12)/Datos!X12," - ")</f>
        <v>0.5</v>
      </c>
      <c r="H12" s="514">
        <f>IF(ISNUMBER(((NºAsuntos!G12/NºAsuntos!E12)-Datos!BD12)/Datos!BD12),((NºAsuntos!G12/NºAsuntos!E12)-Datos!BD12)/Datos!BD12," - ")</f>
        <v>9.9279845243339465E-2</v>
      </c>
      <c r="I12" s="515">
        <f>IF(ISNUMBER(((NºAsuntos!I12/NºAsuntos!G12)-Datos!BE12)/Datos!BE12),((NºAsuntos!I12/NºAsuntos!G12)-Datos!BE12)/Datos!BE12," - ")</f>
        <v>1.5875050353389257E-2</v>
      </c>
      <c r="J12" s="521">
        <f>IF(ISNUMBER((('Resol  Asuntos'!D12/NºAsuntos!G12)-Datos!BF12)/Datos!BF12),(('Resol  Asuntos'!D12/NºAsuntos!G12)-Datos!BF12)/Datos!BF12," - ")</f>
        <v>0.40279299014238779</v>
      </c>
      <c r="K12" s="522">
        <f>IF(ISNUMBER((((NºAsuntos!C12+NºAsuntos!E12)/NºAsuntos!G12)-Datos!BG12)/Datos!BG12),(((NºAsuntos!C12+NºAsuntos!E12)/NºAsuntos!G12)-Datos!BG12)/Datos!BG12," - ")</f>
        <v>7.4269681465586827E-3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0.18544061302681991</v>
      </c>
      <c r="C14" s="1152">
        <f>IF(ISNUMBER(
   IF(J_V="SI",(Datos!J14-Datos!T14)/Datos!T14,(Datos!J14+Datos!Z14-(Datos!T14+Datos!AH14))/(Datos!T14+Datos!AH14))
     ),IF(J_V="SI",(Datos!J14-Datos!T14)/Datos!T14,(Datos!J14+Datos!Z14-(Datos!T14+Datos!AH14))/(Datos!T14+Datos!AH14))," - ")</f>
        <v>3.8876889848812095E-2</v>
      </c>
      <c r="D14" s="1152">
        <f>IF(ISNUMBER(
   IF(J_V="SI",(Datos!K14-Datos!U14)/Datos!U14,(Datos!K14+Datos!AA14-(Datos!U14+Datos!AI14))/(Datos!U14+Datos!AI14))
     ),IF(J_V="SI",(Datos!K14-Datos!U14)/Datos!U14,(Datos!K14+Datos!AA14-(Datos!U14+Datos!AI14))/(Datos!U14+Datos!AI14))," - ")</f>
        <v>0.14908256880733944</v>
      </c>
      <c r="E14" s="1152">
        <f>IF(ISNUMBER(
   IF(J_V="SI",(Datos!L14-Datos!V14)/Datos!V14,(Datos!L14+Datos!AB14-(Datos!V14+Datos!AJ14))/(Datos!V14+Datos!AJ14))
     ),IF(J_V="SI",(Datos!L14-Datos!V14)/Datos!V14,(Datos!L14+Datos!AB14-(Datos!V14+Datos!AJ14))/(Datos!V14+Datos!AJ14))," - ")</f>
        <v>0.15315315315315314</v>
      </c>
      <c r="F14" s="1153">
        <f>IF(ISNUMBER((Datos!M14-Datos!W14)/Datos!W14),(Datos!M14-Datos!W14)/Datos!W14," - ")</f>
        <v>2.1276595744680851E-2</v>
      </c>
      <c r="G14" s="1154">
        <f>IF(ISNUMBER((Datos!N14-Datos!X14)/Datos!X14),(Datos!N14-Datos!X14)/Datos!X14," - ")</f>
        <v>0.5</v>
      </c>
      <c r="H14" s="1154">
        <f>IF(ISNUMBER(((NºAsuntos!G14/NºAsuntos!E14)-Datos!BD14)/Datos!BD14),((NºAsuntos!G14/NºAsuntos!E14)-Datos!BD14)/Datos!BD14," - ")</f>
        <v>0.10608155791642032</v>
      </c>
      <c r="I14" s="1154">
        <f>IF(ISNUMBER(((NºAsuntos!I14/NºAsuntos!G14)-Datos!BE14)/Datos!BE14),((NºAsuntos!I14/NºAsuntos!G14)-Datos!BE14)/Datos!BE14," - ")</f>
        <v>3.5424646203089552E-3</v>
      </c>
      <c r="J14" s="1154">
        <f>IF(ISNUMBER((('Resol  Asuntos'!D14/NºAsuntos!G14)-Datos!BF14)/Datos!BF14),(('Resol  Asuntos'!D14/NºAsuntos!G14)-Datos!BF14)/Datos!BF14," - ")</f>
        <v>0.42406096897114848</v>
      </c>
      <c r="K14" s="1154">
        <f>IF(ISNUMBER((((NºAsuntos!C14+NºAsuntos!E14)/NºAsuntos!G14)-Datos!BG14)/Datos!BG14),(((NºAsuntos!C14+NºAsuntos!E14)/NºAsuntos!G14)-Datos!BG14)/Datos!BG14," - ")</f>
        <v>-1.7611835153222317E-3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6.8552774755168661E-2</v>
      </c>
      <c r="C17" s="515">
        <f>IF(ISNUMBER(
   IF(D_I="SI",(Datos!J17-Datos!T17)/Datos!T17,(Datos!J17+Datos!AD17-(Datos!T17+Datos!AL17))/(Datos!T17+Datos!AL17))
     ),IF(D_I="SI",(Datos!J17-Datos!T17)/Datos!T17,(Datos!J17+Datos!AD17-(Datos!T17+Datos!AL17))/(Datos!T17+Datos!AL17))," - ")</f>
        <v>1.9780219780219779E-2</v>
      </c>
      <c r="D17" s="515">
        <f>IF(ISNUMBER(
   IF(D_I="SI",(Datos!K17-Datos!U17)/Datos!U17,(Datos!K17+Datos!AE17-(Datos!U17+Datos!AM17))/(Datos!U17+Datos!AM17))
     ),IF(D_I="SI",(Datos!K17-Datos!U17)/Datos!U17,(Datos!K17+Datos!AE17-(Datos!U17+Datos!AM17))/(Datos!U17+Datos!AM17))," - ")</f>
        <v>5.4968287526427059E-2</v>
      </c>
      <c r="E17" s="515">
        <f>IF(ISNUMBER(
   IF(D_I="SI",(Datos!L17-Datos!V17)/Datos!V17,(Datos!L17+Datos!AF17-(Datos!V17+Datos!AN17))/(Datos!V17+Datos!AN17))
     ),IF(D_I="SI",(Datos!L17-Datos!V17)/Datos!V17,(Datos!L17+Datos!AF17-(Datos!V17+Datos!AN17))/(Datos!V17+Datos!AN17))," - ")</f>
        <v>4.3907793633369926E-2</v>
      </c>
      <c r="F17" s="515">
        <f>IF(ISNUMBER((Datos!M17-Datos!W17)/Datos!W17),(Datos!M17-Datos!W17)/Datos!W17," - ")</f>
        <v>-0.31868131868131866</v>
      </c>
      <c r="G17" s="516">
        <f>IF(ISNUMBER((Datos!N17-Datos!X17)/Datos!X17),(Datos!N17-Datos!X17)/Datos!X17," - ")</f>
        <v>-5.1094890510948905E-2</v>
      </c>
      <c r="H17" s="514">
        <f>IF(ISNUMBER(((NºAsuntos!G17/NºAsuntos!E17)-Datos!BD17)/Datos!BD17),((NºAsuntos!G17/NºAsuntos!E17)-Datos!BD17)/Datos!BD17," - ")</f>
        <v>3.4505540570095472E-2</v>
      </c>
      <c r="I17" s="515">
        <f>IF(ISNUMBER(((NºAsuntos!I17/NºAsuntos!G17)-Datos!BE17)/Datos!BE17),((NºAsuntos!I17/NºAsuntos!G17)-Datos!BE17)/Datos!BE17," - ")</f>
        <v>-1.048419561406019E-2</v>
      </c>
      <c r="J17" s="521">
        <f>IF(ISNUMBER((('Resol  Asuntos'!D17/NºAsuntos!G17)-Datos!BF17)/Datos!BF17),(('Resol  Asuntos'!D17/NºAsuntos!G17)-Datos!BF17)/Datos!BF17," - ")</f>
        <v>-0.35418088925102958</v>
      </c>
      <c r="K17" s="522">
        <f>IF(ISNUMBER((((NºAsuntos!C17+NºAsuntos!E17)/NºAsuntos!G17)-Datos!BG17)/Datos!BG17),(((NºAsuntos!C17+NºAsuntos!E17)/NºAsuntos!G17)-Datos!BG17)/Datos!BG17," - ")</f>
        <v>-2.4328132247026886E-3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0.26315789473684209</v>
      </c>
      <c r="D18" s="515">
        <f>IF(ISNUMBER(
   IF(D_I="SI",(Datos!K18-Datos!U18)/Datos!U18,(Datos!K18+Datos!AE18-(Datos!U18+Datos!AM18))/(Datos!U18+Datos!AM18))
     ),IF(D_I="SI",(Datos!K18-Datos!U18)/Datos!U18,(Datos!K18+Datos!AE18-(Datos!U18+Datos!AM18))/(Datos!U18+Datos!AM18))," - ")</f>
        <v>-2.2727272727272728E-2</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0.5</v>
      </c>
      <c r="G18" s="516">
        <f>IF(ISNUMBER((Datos!N18-Datos!X18)/Datos!X18),(Datos!N18-Datos!X18)/Datos!X18," - ")</f>
        <v>-0.39622641509433965</v>
      </c>
      <c r="H18" s="514">
        <f>IF(ISNUMBER(((NºAsuntos!G18/NºAsuntos!E18)-Datos!BD18)/Datos!BD18),((NºAsuntos!G18/NºAsuntos!E18)-Datos!BD18)/Datos!BD18," - ")</f>
        <v>-0.22632575757575757</v>
      </c>
      <c r="I18" s="515">
        <f>IF(ISNUMBER(((NºAsuntos!I18/NºAsuntos!G18)-Datos!BE18)/Datos!BE18),((NºAsuntos!I18/NºAsuntos!G18)-Datos!BE18)/Datos!BE18," - ")</f>
        <v>0.36434108527131787</v>
      </c>
      <c r="J18" s="521">
        <f>IF(ISNUMBER((('Resol  Asuntos'!D18/NºAsuntos!G18)-Datos!BF18)/Datos!BF18),(('Resol  Asuntos'!D18/NºAsuntos!G18)-Datos!BF18)/Datos!BF18," - ")</f>
        <v>0.53488372093023251</v>
      </c>
      <c r="K18" s="522">
        <f>IF(ISNUMBER((((NºAsuntos!C18+NºAsuntos!E18)/NºAsuntos!G18)-Datos!BG18)/Datos!BG18),(((NºAsuntos!C18+NºAsuntos!E18)/NºAsuntos!G18)-Datos!BG18)/Datos!BG18," - ")</f>
        <v>0.15614617940199338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6.5762004175365346E-2</v>
      </c>
      <c r="C23" s="1152">
        <f>IF(ISNUMBER(
   IF(Criterios!B14="SI",(Datos!J23-Datos!T23)/Datos!T23,(Datos!J23+Datos!AD23-(Datos!T23+Datos!AL23))/(Datos!T23+Datos!AL23))
     ),IF(Criterios!B14="SI",(Datos!J23-Datos!T23)/Datos!T23,(Datos!J23+Datos!AD23-(Datos!T23+Datos!AL23))/(Datos!T23+Datos!AL23))," - ")</f>
        <v>3.8539553752535496E-2</v>
      </c>
      <c r="D23" s="1152">
        <f>IF(ISNUMBER(
   IF(Criterios!B14="SI",(Datos!K23-Datos!U23)/Datos!U23,(Datos!K23+Datos!AE23-(Datos!U23+Datos!AM23))/(Datos!U23+Datos!AM23))
     ),IF(Criterios!B14="SI",(Datos!K23-Datos!U23)/Datos!U23,(Datos!K23+Datos!AE23-(Datos!U23+Datos!AM23))/(Datos!U23+Datos!AM23))," - ")</f>
        <v>4.8355899419729204E-2</v>
      </c>
      <c r="E23" s="1152">
        <f>IF(ISNUMBER(
   IF(Criterios!B14="SI",(Datos!L23-Datos!V23)/Datos!V23,(Datos!L23+Datos!AF23-(Datos!V23+Datos!AN23))/(Datos!V23+Datos!AN23))
     ),IF(Criterios!B14="SI",(Datos!L23-Datos!V23)/Datos!V23,(Datos!L23+Datos!AF23-(Datos!V23+Datos!AN23))/(Datos!V23+Datos!AN23))," - ")</f>
        <v>5.4025423728813561E-2</v>
      </c>
      <c r="F23" s="1153">
        <f>IF(ISNUMBER((Datos!M23-Datos!W23)/Datos!W23),(Datos!M23-Datos!W23)/Datos!W23," - ")</f>
        <v>-0.28421052631578947</v>
      </c>
      <c r="G23" s="1154">
        <f>IF(ISNUMBER((Datos!N23-Datos!X23)/Datos!X23),(Datos!N23-Datos!X23)/Datos!X23," - ")</f>
        <v>-0.10703363914373089</v>
      </c>
      <c r="H23" s="1154">
        <f>IF(ISNUMBER(((NºAsuntos!G23/NºAsuntos!E23)-Datos!BD23)/Datos!BD23),((NºAsuntos!G23/NºAsuntos!E23)-Datos!BD23)/Datos!BD23," - ")</f>
        <v>9.4520672147000873E-3</v>
      </c>
      <c r="I23" s="1154">
        <f>IF(ISNUMBER(((NºAsuntos!I23/NºAsuntos!G23)-Datos!BE23)/Datos!BE23),((NºAsuntos!I23/NºAsuntos!G23)-Datos!BE23)/Datos!BE23," - ")</f>
        <v>5.4080148852336E-3</v>
      </c>
      <c r="J23" s="1154">
        <f>IF(ISNUMBER((('Resol  Asuntos'!D23/NºAsuntos!G23)-Datos!BF23)/Datos!BF23),(('Resol  Asuntos'!D23/NºAsuntos!G23)-Datos!BF23)/Datos!BF23," - ")</f>
        <v>-0.31722664595067002</v>
      </c>
      <c r="K23" s="1154">
        <f>IF(ISNUMBER((((NºAsuntos!C23+NºAsuntos!E23)/NºAsuntos!G23)-Datos!BG23)/Datos!BG23),(((NºAsuntos!C23+NºAsuntos!E23)/NºAsuntos!G23)-Datos!BG23)/Datos!BG23," - ")</f>
        <v>7.7806119205230968E-3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0.13477684489615555</v>
      </c>
      <c r="C31" s="1092">
        <f>IF(ISNUMBER(
   IF(J_V="SI",(Datos!J31-Datos!T31)/Datos!T31,(Datos!J31+Datos!Z31-(Datos!T31+Datos!AH31))/(Datos!T31+Datos!AH31))
     ),IF(J_V="SI",(Datos!J31-Datos!T31)/Datos!T31,(Datos!J31+Datos!Z31-(Datos!T31+Datos!AH31))/(Datos!T31+Datos!AH31))," - ")</f>
        <v>3.8702928870292884E-2</v>
      </c>
      <c r="D31" s="1092">
        <f>IF(ISNUMBER(
   IF(J_V="SI",(Datos!K31-Datos!U31)/Datos!U31,(Datos!K31+Datos!AA31-(Datos!U31+Datos!AI31))/(Datos!U31+Datos!AI31))
     ),IF(J_V="SI",(Datos!K31-Datos!U31)/Datos!U31,(Datos!K31+Datos!AA31-(Datos!U31+Datos!AI31))/(Datos!U31+Datos!AI31))," - ")</f>
        <v>9.4438614900314799E-2</v>
      </c>
      <c r="E31" s="1092">
        <f>IF(ISNUMBER(
   IF(J_V="SI",(Datos!L31-Datos!V31)/Datos!V31,(Datos!L31+Datos!AB31-(Datos!V31+Datos!AJ31))/(Datos!V31+Datos!AJ31))
     ),IF(J_V="SI",(Datos!L31-Datos!V31)/Datos!V31,(Datos!L31+Datos!AB31-(Datos!V31+Datos!AJ31))/(Datos!V31+Datos!AJ31))," - ")</f>
        <v>0.11203866432337434</v>
      </c>
      <c r="F31" s="1093">
        <f>IF(ISNUMBER((Datos!M31-Datos!W31)/Datos!W31),(Datos!M31-Datos!W31)/Datos!W31," - ")</f>
        <v>-0.10169491525423729</v>
      </c>
      <c r="G31" s="1094">
        <f>IF(ISNUMBER((Datos!N31-Datos!X31)/Datos!X31),(Datos!N31-Datos!X31)/Datos!X31," - ")</f>
        <v>2.1686746987951807E-2</v>
      </c>
      <c r="H31" s="1095">
        <f>IF(ISNUMBER((Tasas!B31-Datos!BD31)/Datos!BD31),(Tasas!B31-Datos!BD31)/Datos!BD31," - ")</f>
        <v>5.3658928343102728E-2</v>
      </c>
      <c r="I31" s="1096">
        <f>IF(ISNUMBER((Tasas!C31-Datos!BE31)/Datos!BE31),(Tasas!C31-Datos!BE31)/Datos!BE31," - ")</f>
        <v>1.6081349089334201E-2</v>
      </c>
      <c r="J31" s="1097">
        <f>IF(ISNUMBER((Tasas!D31-Datos!BF31)/Datos!BF31),(Tasas!D31-Datos!BF31)/Datos!BF31," - ")</f>
        <v>5.8506095803928286E-2</v>
      </c>
      <c r="K31" s="1097">
        <f>IF(ISNUMBER((Tasas!E31-Datos!BG31)/Datos!BG31),(Tasas!E31-Datos!BG31)/Datos!BG31," - ")</f>
        <v>1.0786863830140856E-2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n2mswxcr2P5a9vyuFP8Jp/ueLr4hqbpE7g1Rr4lRXWAqHSnYrdRYRKnm7WhOF98xU7/AD9DwYJYuc/Zyxisaw==" saltValue="lpbhLzQ3Hfxtel1za0Gh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HELLIN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1.0396659707724425</v>
      </c>
      <c r="C12" s="498">
        <f>IF(ISNUMBER(NºAsuntos!I12/NºAsuntos!G12),NºAsuntos!I12/NºAsuntos!G12," - ")</f>
        <v>3.0662650602409638</v>
      </c>
      <c r="D12" s="499">
        <f>IF(ISNUMBER('Resol  Asuntos'!D12/NºAsuntos!G12),'Resol  Asuntos'!D12/NºAsuntos!G12," - ")</f>
        <v>0.28313253012048195</v>
      </c>
      <c r="E12" s="500">
        <f>IF(ISNUMBER((NºAsuntos!C12+NºAsuntos!E12)/NºAsuntos!G12),(NºAsuntos!C12+NºAsuntos!E12)/NºAsuntos!G12," - ")</f>
        <v>4.0481927710843371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1.0415800415800416</v>
      </c>
      <c r="C14" s="1156">
        <f>IF(ISNUMBER(NºAsuntos!I14/NºAsuntos!G14),NºAsuntos!I14/NºAsuntos!G14," - ")</f>
        <v>3.0658682634730541</v>
      </c>
      <c r="D14" s="1157">
        <f>IF(ISNUMBER('Resol  Asuntos'!D14/NºAsuntos!G14),'Resol  Asuntos'!D14/NºAsuntos!G14," - ")</f>
        <v>0.28742514970059879</v>
      </c>
      <c r="E14" s="1158">
        <f>IF(ISNUMBER((NºAsuntos!C14+NºAsuntos!E14)/NºAsuntos!G14),(NºAsuntos!C14+NºAsuntos!E14)/NºAsuntos!G14," - ")</f>
        <v>4.0479041916167668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1.0754310344827587</v>
      </c>
      <c r="C17" s="498">
        <f>IF(ISNUMBER(NºAsuntos!I17/NºAsuntos!G17),NºAsuntos!I17/NºAsuntos!G17," - ")</f>
        <v>1.905811623246493</v>
      </c>
      <c r="D17" s="499">
        <f>IF(ISNUMBER('Resol  Asuntos'!D17/NºAsuntos!G17),'Resol  Asuntos'!D17/NºAsuntos!G17," - ")</f>
        <v>0.12424849699398798</v>
      </c>
      <c r="E17" s="500">
        <f>IF(ISNUMBER((NºAsuntos!C17+NºAsuntos!E17)/NºAsuntos!G17),(NºAsuntos!C17+NºAsuntos!E17)/NºAsuntos!G17," - ")</f>
        <v>2.8977955911823647</v>
      </c>
      <c r="G17" s="523"/>
    </row>
    <row r="18" spans="1:7">
      <c r="A18" s="450" t="str">
        <f>Datos!A18</f>
        <v>Jdos. Violencia contra la mujer</v>
      </c>
      <c r="B18" s="497">
        <f>IF(ISNUMBER(NºAsuntos!G18/NºAsuntos!E18),NºAsuntos!G18/NºAsuntos!E18," - ")</f>
        <v>0.89583333333333337</v>
      </c>
      <c r="C18" s="498">
        <f>IF(ISNUMBER(NºAsuntos!I18/NºAsuntos!G18),NºAsuntos!I18/NºAsuntos!G18," - ")</f>
        <v>1.0232558139534884</v>
      </c>
      <c r="D18" s="499">
        <f>IF(ISNUMBER('Resol  Asuntos'!D18/NºAsuntos!G18),'Resol  Asuntos'!D18/NºAsuntos!G18," - ")</f>
        <v>0.13953488372093023</v>
      </c>
      <c r="E18" s="500">
        <f>IF(ISNUMBER((NºAsuntos!C18+NºAsuntos!E18)/NºAsuntos!G18),(NºAsuntos!C18+NºAsuntos!E18)/NºAsuntos!G18," - ")</f>
        <v>2.0232558139534884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1.05859375</v>
      </c>
      <c r="C23" s="1156">
        <f>IF(ISNUMBER(NºAsuntos!I23/NºAsuntos!G23),NºAsuntos!I23/NºAsuntos!G23," - ")</f>
        <v>1.8357933579335792</v>
      </c>
      <c r="D23" s="1159">
        <f>IF(ISNUMBER('Resol  Asuntos'!D23/NºAsuntos!G23),'Resol  Asuntos'!D23/NºAsuntos!G23," - ")</f>
        <v>0.12546125461254612</v>
      </c>
      <c r="E23" s="1158">
        <f>IF(ISNUMBER((NºAsuntos!C23+NºAsuntos!E23)/NºAsuntos!G23),(NºAsuntos!C23+NºAsuntos!E23)/NºAsuntos!G23," - ")</f>
        <v>2.8284132841328415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1.0503524672708964</v>
      </c>
      <c r="C31" s="1099">
        <f>IF(ISNUMBER(NºAsuntos!I31/NºAsuntos!G31),NºAsuntos!I31/NºAsuntos!G31," - ")</f>
        <v>2.4266538830297217</v>
      </c>
      <c r="D31" s="1100">
        <f>IF(ISNUMBER('Resol  Asuntos'!D31/NºAsuntos!G31),'Resol  Asuntos'!D31/NºAsuntos!G31," - ")</f>
        <v>0.20325982742090123</v>
      </c>
      <c r="E31" s="1101">
        <f>IF(ISNUMBER((NºAsuntos!C31+NºAsuntos!E31)/NºAsuntos!G31),(NºAsuntos!C31+NºAsuntos!E31)/NºAsuntos!G31," - ")</f>
        <v>3.414189837008629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RQSWtHbxXGvMrFZKPqc0Kk6QeMn47kBRMjqq8fxXwUQ3zdNaeaM9e0RjYT5WsXbI8o+QwLO3CmhaO+x6MEltg==" saltValue="LRTJWHDvKaDChrNlrRzQ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HELLIN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6</v>
      </c>
      <c r="Y10" s="374">
        <f t="shared" ref="Y10:Y13" si="0">SUM(W10:X10)</f>
        <v>9</v>
      </c>
      <c r="Z10" s="375" t="str">
        <f>IF(ISNUMBER(Datos!CC10),Datos!CC10," - ")</f>
        <v xml:space="preserve"> - </v>
      </c>
      <c r="AA10" s="372">
        <f>IF(ISNUMBER(Datos!L10),Datos!L10,"-")</f>
        <v>9</v>
      </c>
      <c r="AB10" s="374">
        <f>IF(ISNUMBER(Datos!R10),Datos!R10," - ")</f>
        <v>19</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9</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141</v>
      </c>
      <c r="AJ12" s="243" t="str">
        <f>IF(ISNUMBER(Datos!BW12),Datos!BW12," - ")</f>
        <v xml:space="preserve"> - </v>
      </c>
      <c r="AK12" s="242" t="str">
        <f>IF(ISNUMBER(Datos!BX12),Datos!BX12," - ")</f>
        <v xml:space="preserve"> - </v>
      </c>
      <c r="AL12" s="266">
        <f>IF(ISNUMBER(NºAsuntos!G12/NºAsuntos!E12),NºAsuntos!G12/NºAsuntos!E12," - ")</f>
        <v>1.0396659707724425</v>
      </c>
      <c r="AM12" s="284">
        <f>IF(ISNUMBER(((NºAsuntos!I12/NºAsuntos!G12)*11)/factor_trimestre),((NºAsuntos!I12/NºAsuntos!G12)*11)/factor_trimestre," - ")</f>
        <v>9.1987951807228914</v>
      </c>
      <c r="AN12" s="267">
        <f>IF(ISNUMBER('Resol  Asuntos'!D12/NºAsuntos!G12),'Resol  Asuntos'!D12/NºAsuntos!G12," - ")</f>
        <v>0.28313253012048195</v>
      </c>
      <c r="AO12" s="268">
        <f>IF(ISNUMBER((NºAsuntos!C12+NºAsuntos!E12)/NºAsuntos!G12),(NºAsuntos!C12+NºAsuntos!E12)/NºAsuntos!G12," - ")</f>
        <v>4.0481927710843371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10</v>
      </c>
      <c r="G14" s="1163">
        <f t="shared" si="5"/>
        <v>10</v>
      </c>
      <c r="H14" s="1162">
        <f t="shared" si="5"/>
        <v>0</v>
      </c>
      <c r="I14" s="1164">
        <f t="shared" si="5"/>
        <v>0</v>
      </c>
      <c r="J14" s="1164">
        <f t="shared" si="5"/>
        <v>0</v>
      </c>
      <c r="K14" s="1164">
        <f t="shared" si="5"/>
        <v>0</v>
      </c>
      <c r="L14" s="1164">
        <f t="shared" si="5"/>
        <v>112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105</v>
      </c>
      <c r="Y14" s="1165">
        <f t="shared" si="6"/>
        <v>108</v>
      </c>
      <c r="Z14" s="1165">
        <f t="shared" si="6"/>
        <v>0</v>
      </c>
      <c r="AA14" s="1165">
        <f t="shared" si="6"/>
        <v>9</v>
      </c>
      <c r="AB14" s="1165">
        <f t="shared" si="6"/>
        <v>3122</v>
      </c>
      <c r="AC14" s="1165">
        <f t="shared" si="6"/>
        <v>28</v>
      </c>
      <c r="AD14" s="1165">
        <f t="shared" si="6"/>
        <v>0</v>
      </c>
      <c r="AE14" s="1169">
        <f t="shared" si="6"/>
        <v>0</v>
      </c>
      <c r="AF14" s="1162">
        <f t="shared" si="6"/>
        <v>0</v>
      </c>
      <c r="AG14" s="1170">
        <f t="shared" si="6"/>
        <v>0</v>
      </c>
      <c r="AH14" s="1167">
        <f t="shared" si="6"/>
        <v>0</v>
      </c>
      <c r="AI14" s="1162">
        <f t="shared" si="6"/>
        <v>144</v>
      </c>
      <c r="AJ14" s="1164">
        <f t="shared" si="6"/>
        <v>0</v>
      </c>
      <c r="AK14" s="1167">
        <f>SUBTOTAL(9,AK9:AK13)</f>
        <v>0</v>
      </c>
      <c r="AL14" s="1171">
        <f>IF(ISNUMBER(NºAsuntos!G14/NºAsuntos!E14),NºAsuntos!G14/NºAsuntos!E14," - ")</f>
        <v>1.0415800415800416</v>
      </c>
      <c r="AM14" s="1171">
        <f>IF(ISNUMBER(((NºAsuntos!I14/NºAsuntos!G14)*11)/factor_trimestre),((NºAsuntos!I14/NºAsuntos!G14)*11)/factor_trimestre," - ")</f>
        <v>9.1976047904191631</v>
      </c>
      <c r="AN14" s="1172">
        <f>IF(ISNUMBER('Resol  Asuntos'!D14/NºAsuntos!G14),'Resol  Asuntos'!D14/NºAsuntos!G14," - ")</f>
        <v>0.28742514970059879</v>
      </c>
      <c r="AO14" s="1173">
        <f>IF(ISNUMBER((NºAsuntos!C14+NºAsuntos!E14)/NºAsuntos!G14),(NºAsuntos!C14+NºAsuntos!E14)/NºAsuntos!G14," - ")</f>
        <v>4.0479041916167668</v>
      </c>
      <c r="AP14" s="1174" t="str">
        <f t="shared" si="2"/>
        <v xml:space="preserve"> - </v>
      </c>
      <c r="AQ14" s="1174">
        <f>IF(ISNUMBER((H14-W14+K14)/(F14)),(H14-W14+K14)/(F14)," - ")</f>
        <v>-0.3</v>
      </c>
      <c r="AR14" s="1175">
        <f>IF(ISNUMBER((Datos!P14-Datos!Q14)/(Datos!R14-Datos!P14+Datos!Q14)),(Datos!P14-Datos!Q14)/(Datos!R14-Datos!P14+Datos!Q14)," - ")</f>
        <v>2.2471910112359553E-3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986</v>
      </c>
      <c r="G17" s="373">
        <f>IF(ISNUMBER(IF(D_I="SI",Datos!I17,Datos!I17+Datos!AC17)),IF(D_I="SI",Datos!I17,Datos!I17+Datos!AC17)," - ")</f>
        <v>982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499</v>
      </c>
      <c r="X17" s="240">
        <f>IF(ISNUMBER(Datos!Q17),Datos!Q17," - ")</f>
        <v>7</v>
      </c>
      <c r="Y17" s="374">
        <f t="shared" ref="Y17:Y22" si="9">SUM(W17:X17)</f>
        <v>506</v>
      </c>
      <c r="Z17" s="375" t="str">
        <f>IF(ISNUMBER(Datos!CC17),Datos!CC17," - ")</f>
        <v xml:space="preserve"> - </v>
      </c>
      <c r="AA17" s="372">
        <f>IF(ISNUMBER(IF(D_I="SI",Datos!L17,Datos!L17+Datos!AF17)),IF(D_I="SI",Datos!L17,Datos!L17+Datos!AF17)," - ")</f>
        <v>951</v>
      </c>
      <c r="AB17" s="374">
        <f>IF(ISNUMBER(Datos!R17),Datos!R17," - ")</f>
        <v>100</v>
      </c>
      <c r="AC17" s="374">
        <f t="shared" si="8"/>
        <v>1051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62</v>
      </c>
      <c r="AJ17" s="245" t="str">
        <f>IF(ISNUMBER(Datos!BW17),Datos!BW17," - ")</f>
        <v xml:space="preserve"> - </v>
      </c>
      <c r="AK17" s="246" t="str">
        <f>IF(ISNUMBER(Datos!BX17),Datos!BX17," - ")</f>
        <v xml:space="preserve"> - </v>
      </c>
      <c r="AL17" s="266">
        <f>IF(ISNUMBER(NºAsuntos!G17/NºAsuntos!E17),NºAsuntos!G17/NºAsuntos!E17," - ")</f>
        <v>1.0754310344827587</v>
      </c>
      <c r="AM17" s="284">
        <f>IF(ISNUMBER(((NºAsuntos!I17/NºAsuntos!G17)*11)/factor_trimestre),((NºAsuntos!I17/NºAsuntos!G17)*11)/factor_trimestre," - ")</f>
        <v>5.7174348697394786</v>
      </c>
      <c r="AN17" s="267">
        <f>IF(ISNUMBER('Resol  Asuntos'!D17/NºAsuntos!G17),'Resol  Asuntos'!D17/NºAsuntos!G17," - ")</f>
        <v>0.12424849699398798</v>
      </c>
      <c r="AO17" s="268">
        <f>IF(ISNUMBER((NºAsuntos!C17+NºAsuntos!E17)/NºAsuntos!G17),(NºAsuntos!C17+NºAsuntos!E17)/NºAsuntos!G17," - ")</f>
        <v>2.8977955911823647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0</v>
      </c>
      <c r="Y18" s="374">
        <f t="shared" si="9"/>
        <v>43</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0.89583333333333337</v>
      </c>
      <c r="AM18" s="284">
        <f>IF(ISNUMBER(((NºAsuntos!I18/NºAsuntos!G18)*11)/factor_trimestre),((NºAsuntos!I18/NºAsuntos!G18)*11)/factor_trimestre," - ")</f>
        <v>3.0697674418604652</v>
      </c>
      <c r="AN18" s="267">
        <f>IF(ISNUMBER('Resol  Asuntos'!D18/NºAsuntos!G18),'Resol  Asuntos'!D18/NºAsuntos!G18," - ")</f>
        <v>0.13953488372093023</v>
      </c>
      <c r="AO18" s="268">
        <f>IF(ISNUMBER((NºAsuntos!C18+NºAsuntos!E18)/NºAsuntos!G18),(NºAsuntos!C18+NºAsuntos!E18)/NºAsuntos!G18," - ")</f>
        <v>2.0232558139534884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986</v>
      </c>
      <c r="G23" s="1163">
        <f>SUBTOTAL(9,G16:G22)</f>
        <v>1021</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542</v>
      </c>
      <c r="X23" s="1164">
        <f t="shared" si="14"/>
        <v>7</v>
      </c>
      <c r="Y23" s="1165">
        <f t="shared" si="14"/>
        <v>549</v>
      </c>
      <c r="Z23" s="1165">
        <f t="shared" si="14"/>
        <v>0</v>
      </c>
      <c r="AA23" s="1165">
        <f t="shared" si="14"/>
        <v>995</v>
      </c>
      <c r="AB23" s="1165">
        <f t="shared" si="14"/>
        <v>100</v>
      </c>
      <c r="AC23" s="1165">
        <f t="shared" si="14"/>
        <v>1095</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1.05859375</v>
      </c>
      <c r="AM23" s="1171">
        <f>IF(ISNUMBER(((NºAsuntos!I23/NºAsuntos!G23)*11)/factor_trimestre),((NºAsuntos!I23/NºAsuntos!G23)*11)/factor_trimestre," - ")</f>
        <v>5.5073800738007375</v>
      </c>
      <c r="AN23" s="1172">
        <f>IF(ISNUMBER('Resol  Asuntos'!D23/NºAsuntos!G23),'Resol  Asuntos'!D23/NºAsuntos!G23," - ")</f>
        <v>0.12546125461254612</v>
      </c>
      <c r="AO23" s="1173">
        <f>IF(ISNUMBER((NºAsuntos!C23+NºAsuntos!E23)/NºAsuntos!G23),(NºAsuntos!C23+NºAsuntos!E23)/NºAsuntos!G23," - ")</f>
        <v>2.8284132841328415</v>
      </c>
      <c r="AP23" s="1174" t="str">
        <f t="shared" si="2"/>
        <v xml:space="preserve"> - </v>
      </c>
      <c r="AQ23" s="1174">
        <f>IF(ISNUMBER((H23-W23+K23)/(F23)),(H23-W23+K23)/(F23)," - ")</f>
        <v>-0.5496957403651116</v>
      </c>
      <c r="AR23" s="1175">
        <f>IF(ISNUMBER((Datos!P23-Datos!Q23)/(Datos!R23-Datos!P23+Datos!Q23)),(Datos!P23-Datos!Q23)/(Datos!R23-Datos!P23+Datos!Q23)," - ")</f>
        <v>1.0101010101010102E-2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996</v>
      </c>
      <c r="G31" s="1118">
        <f t="shared" si="20"/>
        <v>1031</v>
      </c>
      <c r="H31" s="1117">
        <f t="shared" si="20"/>
        <v>0</v>
      </c>
      <c r="I31" s="1119">
        <f t="shared" si="20"/>
        <v>0</v>
      </c>
      <c r="J31" s="1119">
        <f t="shared" si="20"/>
        <v>0</v>
      </c>
      <c r="K31" s="1180">
        <f t="shared" si="20"/>
        <v>0</v>
      </c>
      <c r="L31" s="1119">
        <f t="shared" si="20"/>
        <v>120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545</v>
      </c>
      <c r="X31" s="1118">
        <f t="shared" si="21"/>
        <v>112</v>
      </c>
      <c r="Y31" s="1125">
        <f t="shared" si="21"/>
        <v>657</v>
      </c>
      <c r="Z31" s="1125">
        <f t="shared" si="21"/>
        <v>0</v>
      </c>
      <c r="AA31" s="1125">
        <f t="shared" si="21"/>
        <v>1004</v>
      </c>
      <c r="AB31" s="1125">
        <f t="shared" si="21"/>
        <v>3222</v>
      </c>
      <c r="AC31" s="1125">
        <f t="shared" si="21"/>
        <v>1123</v>
      </c>
      <c r="AD31" s="1125">
        <f t="shared" si="21"/>
        <v>0</v>
      </c>
      <c r="AE31" s="1127">
        <f t="shared" si="21"/>
        <v>0</v>
      </c>
      <c r="AF31" s="1128">
        <f t="shared" si="21"/>
        <v>0</v>
      </c>
      <c r="AG31" s="1129">
        <f t="shared" si="21"/>
        <v>0</v>
      </c>
      <c r="AH31" s="1127">
        <f t="shared" si="21"/>
        <v>0</v>
      </c>
      <c r="AI31" s="1117">
        <f t="shared" si="21"/>
        <v>212</v>
      </c>
      <c r="AJ31" s="1117">
        <f t="shared" si="21"/>
        <v>0</v>
      </c>
      <c r="AK31" s="1127">
        <f t="shared" si="21"/>
        <v>0</v>
      </c>
      <c r="AL31" s="1183">
        <f>IF(ISNUMBER(NºAsuntos!G31/NºAsuntos!E31),NºAsuntos!G31/NºAsuntos!E31," - ")</f>
        <v>1.0503524672708964</v>
      </c>
      <c r="AM31" s="1184">
        <f>IF(ISNUMBER(((NºAsuntos!I31/NºAsuntos!G31)*11)/factor_trimestre),((NºAsuntos!I31/NºAsuntos!G31)*11)/factor_trimestre," - ")</f>
        <v>7.2799616490891657</v>
      </c>
      <c r="AN31" s="1184">
        <f>IF(ISNUMBER('Resol  Asuntos'!D31/NºAsuntos!G31),'Resol  Asuntos'!D31/NºAsuntos!G31," - ")</f>
        <v>0.20325982742090123</v>
      </c>
      <c r="AO31" s="1185">
        <f>IF(ISNUMBER((NºAsuntos!C31+NºAsuntos!E31)/NºAsuntos!G31),(NºAsuntos!C31+NºAsuntos!E31)/NºAsuntos!G31," - ")</f>
        <v>3.414189837008629</v>
      </c>
      <c r="AP31" s="1186" t="str">
        <f t="shared" si="2"/>
        <v xml:space="preserve"> - </v>
      </c>
      <c r="AQ31" s="1187">
        <f>IF(OR(ISNUMBER(FIND("01",Criterios!A8,1)),ISNUMBER(FIND("02",Criterios!A8,1)),ISNUMBER(FIND("03",Criterios!A8,1)),ISNUMBER(FIND("04",Criterios!A8,1))),(I31-W31+K31)/(F31-K31),(H31-W31+K31)/(F31-K31))</f>
        <v>-0.54718875502008035</v>
      </c>
      <c r="AR31" s="1188">
        <f>IF(ISNUMBER((Datos!P31-Datos!Q31)/(Datos!R31-Datos!P31+Datos!Q31)),(Datos!P31-Datos!Q31)/(Datos!R31-Datos!P31+Datos!Q31)," - ")</f>
        <v>2.4891101431238332E-3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506.60596127562496</v>
      </c>
      <c r="G33" s="277">
        <f>IF(ISNUMBER(STDEV(G8:G30)),STDEV(G8:G30),"-")</f>
        <v>483.2321240504254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249.96780745108913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61.711309452042208</v>
      </c>
      <c r="AJ33" s="276">
        <f t="shared" si="25"/>
        <v>0</v>
      </c>
      <c r="AK33" s="278">
        <f t="shared" si="25"/>
        <v>0</v>
      </c>
      <c r="AL33" s="273">
        <f t="shared" si="25"/>
        <v>0.20544326502642249</v>
      </c>
      <c r="AM33" s="274">
        <f t="shared" si="25"/>
        <v>2.567795446012898</v>
      </c>
      <c r="AN33" s="274">
        <f t="shared" si="25"/>
        <v>0.33861125982611295</v>
      </c>
      <c r="AO33" s="275">
        <f t="shared" si="25"/>
        <v>0.85123971463319492</v>
      </c>
      <c r="AP33" s="317" t="str">
        <f t="shared" si="25"/>
        <v>-</v>
      </c>
      <c r="AQ33" s="318">
        <f t="shared" si="25"/>
        <v>0.176561551245566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K+QmR2uiXzw0kgXZ+XvjFBv05zbs8gKif31TxaBGayKqOKqpfcGhhDMverpl5bkhHyKKueitnC8RwucivQ0RQ==" saltValue="vUnabQQk5OnHZxAWWh1s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HELLIN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v>
      </c>
      <c r="F10" s="393" t="str">
        <f>IF(ISNUMBER((Datos!K10-Datos!U10)/Datos!U10),(Datos!K10-Datos!U10)/Datos!U10," - ")</f>
        <v xml:space="preserve"> - </v>
      </c>
      <c r="G10" s="394">
        <f>IF(ISNUMBER((Datos!L10-Datos!V10)/Datos!V10),(Datos!L10-Datos!V10)/Datos!V10," - ")</f>
        <v>-0.4375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1.5875050353389257E-2</v>
      </c>
      <c r="J12" s="394">
        <f>IF(ISNUMBER((Tasas!D12-Datos!BF12)/Datos!BF12),(Tasas!D12-Datos!BF12)/Datos!BF12," - ")</f>
        <v>0.40279299014238779</v>
      </c>
      <c r="K12" s="396">
        <f>IF(ISNUMBER((Tasas!E12-Datos!BG12)/Datos!BG12),(Tasas!E12-Datos!BG12)/Datos!BG12," - ")</f>
        <v>7.4269681465586827E-3</v>
      </c>
      <c r="M12" t="e">
        <f>IF(Monitorios="SI",Datos!CE12,0)</f>
        <v>#REF!</v>
      </c>
      <c r="N12" t="e">
        <f>IF(Monitorios="SI",Datos!CF12,0)</f>
        <v>#REF!</v>
      </c>
      <c r="O12" t="e">
        <f>IF(Monitorios="SI",Datos!CG12,0)</f>
        <v>#REF!</v>
      </c>
      <c r="P12" t="e">
        <f>IF(Monitorios="SI",Datos!CH12,0)</f>
        <v>#REF!</v>
      </c>
      <c r="Q12">
        <f>IF(J_V="SI",0,Datos!AG12)</f>
        <v>109</v>
      </c>
      <c r="R12">
        <f>IF(J_V="SI",0,Datos!AH12)</f>
        <v>42</v>
      </c>
      <c r="S12">
        <f>IF(J_V="SI",0,Datos!AI12)</f>
        <v>31</v>
      </c>
      <c r="T12">
        <f>IF(J_V="SI",0,Datos!AJ12)</f>
        <v>120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2.1276595744680851E-2</v>
      </c>
      <c r="I14" s="402">
        <f>IF(ISNUMBER((Tasas!C14-Datos!BE14)/Datos!BE14),(Tasas!C14-Datos!BE14)/Datos!BE14," - ")</f>
        <v>3.5424646203089552E-3</v>
      </c>
      <c r="J14" s="400">
        <f>IF(ISNUMBER((Tasas!D14-Datos!BF14)/Datos!BF14),(Tasas!D14-Datos!BF14)/Datos!BF14," - ")</f>
        <v>0.42406096897114848</v>
      </c>
      <c r="K14" s="403">
        <f>IF(ISNUMBER((Tasas!E14-Datos!BG14)/Datos!BG14),(Tasas!E14-Datos!BG14)/Datos!BG14," - ")</f>
        <v>-1.7611835153222317E-3</v>
      </c>
      <c r="M14" t="e">
        <f>IF(Monitorios="SI",Datos!CE14,0)</f>
        <v>#REF!</v>
      </c>
      <c r="N14" t="e">
        <f>IF(Monitorios="SI",Datos!CF14,0)</f>
        <v>#REF!</v>
      </c>
      <c r="O14" t="e">
        <f>IF(Monitorios="SI",Datos!CG14,0)</f>
        <v>#REF!</v>
      </c>
      <c r="P14" t="e">
        <f>IF(Monitorios="SI",Datos!CH14,0)</f>
        <v>#REF!</v>
      </c>
      <c r="Q14">
        <f>IF(J_V="SI",0,Datos!AG14)</f>
        <v>109</v>
      </c>
      <c r="R14">
        <f>IF(J_V="SI",0,Datos!AH14)</f>
        <v>42</v>
      </c>
      <c r="S14">
        <f>IF(J_V="SI",0,Datos!AI14)</f>
        <v>31</v>
      </c>
      <c r="T14">
        <f>IF(J_V="SI",0,Datos!AJ14)</f>
        <v>120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6.8552774755168661E-2</v>
      </c>
      <c r="E17" s="393">
        <f>IF(ISNUMBER(
   IF(D_I="SI",(Datos!J17-Datos!T17)/Datos!T17,(Datos!J17+Datos!AD17-(Datos!T17+Datos!AL17))/(Datos!T17+Datos!AL17))
     ),IF(D_I="SI",(Datos!J17-Datos!T17)/Datos!T17,(Datos!J17+Datos!AD17-(Datos!T17+Datos!AL17))/(Datos!T17+Datos!AL17))," - ")</f>
        <v>1.9780219780219779E-2</v>
      </c>
      <c r="F17" s="393">
        <f>IF(ISNUMBER(
   IF(D_I="SI",(Datos!K17-Datos!U17)/Datos!U17,(Datos!K17+Datos!AE17-(Datos!U17+Datos!AM17))/(Datos!U17+Datos!AM17))
     ),IF(D_I="SI",(Datos!K17-Datos!U17)/Datos!U17,(Datos!K17+Datos!AE17-(Datos!U17+Datos!AM17))/(Datos!U17+Datos!AM17))," - ")</f>
        <v>5.4968287526427059E-2</v>
      </c>
      <c r="G17" s="394">
        <f>IF(ISNUMBER(
   IF(D_I="SI",(Datos!L17-Datos!V17)/Datos!V17,(Datos!L17+Datos!AF17-(Datos!V17+Datos!AN17))/(Datos!V17+Datos!AN17))
     ),IF(D_I="SI",(Datos!L17-Datos!V17)/Datos!V17,(Datos!L17+Datos!AF17-(Datos!V17+Datos!AN17))/(Datos!V17+Datos!AN17))," - ")</f>
        <v>4.3907793633369926E-2</v>
      </c>
      <c r="H17" s="244">
        <f>IF(ISNUMBER((Datos!M17-Datos!W17)/Datos!W17),(Datos!M17-Datos!W17)/Datos!W17," - ")</f>
        <v>-0.31868131868131866</v>
      </c>
      <c r="I17" s="395">
        <f>IF(ISNUMBER((Tasas!C17-Datos!BE17)/Datos!BE17),(Tasas!C17-Datos!BE17)/Datos!BE17," - ")</f>
        <v>-1.048419561406019E-2</v>
      </c>
      <c r="J17" s="394">
        <f>IF(ISNUMBER((Tasas!D17-Datos!BF17)/Datos!BF17),(Tasas!D17-Datos!BF17)/Datos!BF17," - ")</f>
        <v>-0.35418088925102958</v>
      </c>
      <c r="K17" s="396">
        <f>IF(ISNUMBER((Tasas!E17-Datos!BG17)/Datos!BG17),(Tasas!E17-Datos!BG17)/Datos!BG17," - ")</f>
        <v>-2.4328132247026886E-3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0.26315789473684209</v>
      </c>
      <c r="F18" s="393">
        <f>IF(ISNUMBER(
   IF(D_I="SI",(Datos!K18-Datos!U18)/Datos!U18,(Datos!K18+Datos!AE18-(Datos!U18+Datos!AM18))/(Datos!U18+Datos!AM18))
     ),IF(D_I="SI",(Datos!K18-Datos!U18)/Datos!U18,(Datos!K18+Datos!AE18-(Datos!U18+Datos!AM18))/(Datos!U18+Datos!AM18))," - ")</f>
        <v>-2.2727272727272728E-2</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0.5</v>
      </c>
      <c r="I18" s="395">
        <f>IF(ISNUMBER((Tasas!C18-Datos!BE18)/Datos!BE18),(Tasas!C18-Datos!BE18)/Datos!BE18," - ")</f>
        <v>0.36434108527131787</v>
      </c>
      <c r="J18" s="394">
        <f>IF(ISNUMBER((Tasas!D18-Datos!BF18)/Datos!BF18),(Tasas!D18-Datos!BF18)/Datos!BF18," - ")</f>
        <v>0.53488372093023251</v>
      </c>
      <c r="K18" s="396">
        <f>IF(ISNUMBER((Tasas!E18-Datos!BG18)/Datos!BG18),(Tasas!E18-Datos!BG18)/Datos!BG18," - ")</f>
        <v>0.15614617940199338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6.5762004175365346E-2</v>
      </c>
      <c r="E23" s="399">
        <f>IF(ISNUMBER(
   IF(D_I="SI",(Datos!J23-Datos!T23)/Datos!T23,(Datos!J23+Datos!AD23-(Datos!T23+Datos!AL23))/(Datos!T23+Datos!AL23))
     ),IF(D_I="SI",(Datos!J23-Datos!T23)/Datos!T23,(Datos!J23+Datos!AD23-(Datos!T23+Datos!AL23))/(Datos!T23+Datos!AL23))," - ")</f>
        <v>3.8539553752535496E-2</v>
      </c>
      <c r="F23" s="399">
        <f>IF(ISNUMBER(
   IF(D_I="SI",(Datos!K23-Datos!U23)/Datos!U23,(Datos!K23+Datos!AE23-(Datos!U23+Datos!AM23))/(Datos!U23+Datos!AM23))
     ),IF(D_I="SI",(Datos!K23-Datos!U23)/Datos!U23,(Datos!K23+Datos!AE23-(Datos!U23+Datos!AM23))/(Datos!U23+Datos!AM23))," - ")</f>
        <v>4.8355899419729204E-2</v>
      </c>
      <c r="G23" s="400">
        <f>IF(ISNUMBER(
   IF(D_I="SI",(Datos!L23-Datos!V23)/Datos!V23,(Datos!L23+Datos!AF23-(Datos!V23+Datos!AN23))/(Datos!V23+Datos!AN23))
     ),IF(D_I="SI",(Datos!L23-Datos!V23)/Datos!V23,(Datos!L23+Datos!AF23-(Datos!V23+Datos!AN23))/(Datos!V23+Datos!AN23))," - ")</f>
        <v>5.4025423728813561E-2</v>
      </c>
      <c r="H23" s="401">
        <f>IF(ISNUMBER((Datos!M23-Datos!W23)/Datos!W23),(Datos!M23-Datos!W23)/Datos!W23," - ")</f>
        <v>-0.28421052631578947</v>
      </c>
      <c r="I23" s="402">
        <f>IF(ISNUMBER((Tasas!C23-Datos!BE23)/Datos!BE23),(Tasas!C23-Datos!BE23)/Datos!BE23," - ")</f>
        <v>5.4080148852336E-3</v>
      </c>
      <c r="J23" s="400">
        <f>IF(ISNUMBER((Tasas!D23-Datos!BF23)/Datos!BF23),(Tasas!D23-Datos!BF23)/Datos!BF23," - ")</f>
        <v>-0.31722664595067002</v>
      </c>
      <c r="K23" s="403">
        <f>IF(ISNUMBER((Tasas!E23-Datos!BG23)/Datos!BG23),(Tasas!E23-Datos!BG23)/Datos!BG23," - ")</f>
        <v>7.7806119205230968E-3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0.13477684489615555</v>
      </c>
      <c r="E31" s="409">
        <f>IF(ISNUMBER(
   IF(J_V="SI",(Datos!J31-Datos!T31)/Datos!T31,(Datos!J31+Datos!Z31-(Datos!T31+Datos!AH31))/(Datos!T31+Datos!AH31))
     ),IF(J_V="SI",(Datos!J31-Datos!T31)/Datos!T31,(Datos!J31+Datos!Z31-(Datos!T31+Datos!AH31))/(Datos!T31+Datos!AH31))," - ")</f>
        <v>3.8702928870292884E-2</v>
      </c>
      <c r="F31" s="409">
        <f>IF(ISNUMBER(
   IF(J_V="SI",(Datos!K31-Datos!U31)/Datos!U31,(Datos!K31+Datos!AA31-(Datos!U31+Datos!AI31))/(Datos!U31+Datos!AI31))
     ),IF(J_V="SI",(Datos!K31-Datos!U31)/Datos!U31,(Datos!K31+Datos!AA31-(Datos!U31+Datos!AI31))/(Datos!U31+Datos!AI31))," - ")</f>
        <v>9.4438614900314799E-2</v>
      </c>
      <c r="G31" s="410">
        <f>IF(ISNUMBER(
   IF(J_V="SI",(Datos!L31-Datos!V31)/Datos!V31,(Datos!L31+Datos!AB31-(Datos!V31+Datos!AJ31))/(Datos!V31+Datos!AJ31))
     ),IF(J_V="SI",(Datos!L31-Datos!V31)/Datos!V31,(Datos!L31+Datos!AB31-(Datos!V31+Datos!AJ31))/(Datos!V31+Datos!AJ31))," - ")</f>
        <v>0.11203866432337434</v>
      </c>
      <c r="H31" s="411">
        <f>IF(ISNUMBER((Datos!M31-Datos!W31)/Datos!W31),(Datos!M31-Datos!W31)/Datos!W31," - ")</f>
        <v>-0.10169491525423729</v>
      </c>
      <c r="I31" s="408">
        <f>IF(ISNUMBER((Tasas!C31-Datos!BE31)/Datos!BE31),(Tasas!C31-Datos!BE31)/Datos!BE31," - ")</f>
        <v>1.6081349089334201E-2</v>
      </c>
      <c r="J31" s="409">
        <f>IF(ISNUMBER((Tasas!D31-Datos!BF31)/Datos!BF31),(Tasas!D31-Datos!BF31)/Datos!BF31," - ")</f>
        <v>5.8506095803928286E-2</v>
      </c>
      <c r="K31" s="410">
        <f>IF(ISNUMBER((Tasas!E31-Datos!BG31)/Datos!BG31),(Tasas!E31-Datos!BG31)/Datos!BG31," - ")</f>
        <v>1.0786863830140856E-2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0.1682521168934954</v>
      </c>
      <c r="E33" s="303">
        <f t="shared" si="1"/>
        <v>0.12287074382090979</v>
      </c>
      <c r="F33" s="303">
        <f t="shared" si="1"/>
        <v>4.3075788098981625E-2</v>
      </c>
      <c r="G33" s="304">
        <f t="shared" si="1"/>
        <v>0.32008034818848308</v>
      </c>
      <c r="H33" s="310">
        <f t="shared" si="1"/>
        <v>0.32842574879626052</v>
      </c>
      <c r="I33" s="302">
        <f t="shared" si="1"/>
        <v>0.16160761330189261</v>
      </c>
      <c r="J33" s="303">
        <f t="shared" si="1"/>
        <v>0.43558472157118677</v>
      </c>
      <c r="K33" s="304">
        <f t="shared" si="1"/>
        <v>6.8771124412760884E-2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OTOUSA1LnJ14Pe2ypRbE00njpKfrnD930cfy6VWoG+gYheVsSF9zW+bwvc1Y7PpoEfiTqX39IOd/NTtTPg7Hg==" saltValue="dkijB9haNOLLH+n2gR3y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